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ACC\price_nalichie\Для_прайс_плюс_наличие\Рассылка_наличие\"/>
    </mc:Choice>
  </mc:AlternateContent>
  <bookViews>
    <workbookView xWindow="0" yWindow="0" windowWidth="28800" windowHeight="11700" tabRatio="927"/>
  </bookViews>
  <sheets>
    <sheet name="Главная" sheetId="14" r:id="rId1"/>
    <sheet name="Заявка" sheetId="27" r:id="rId23"/>
    <sheet name="Изолента" sheetId="1" r:id="rId2"/>
    <sheet name="Изолента цвета" sheetId="20" r:id="rId3"/>
    <sheet name="ПРОМО" sheetId="24" r:id="rId4"/>
    <sheet name="Провода" sheetId="4" r:id="rId5"/>
    <sheet name="Провода цвета" sheetId="21" r:id="rId6"/>
    <sheet name="Реле" sheetId="7" r:id="rId7"/>
    <sheet name="Концевики" sheetId="25" r:id="rId8"/>
    <sheet name="Предохранители" sheetId="11" r:id="rId9"/>
    <sheet name="Тюбинг" sheetId="9" r:id="rId10"/>
    <sheet name="Клеммы" sheetId="8" r:id="rId11"/>
    <sheet name="Коннекторы" sheetId="10" r:id="rId12"/>
    <sheet name="Стяжки" sheetId="5" r:id="rId13"/>
    <sheet name="Термотрубка" sheetId="12" r:id="rId14"/>
    <sheet name="ДОП" sheetId="13" r:id="rId15"/>
    <sheet name="Защитные покрытия" sheetId="15" r:id="rId16"/>
    <sheet name="Мобильные аксессуары" sheetId="23" r:id="rId17"/>
    <sheet name="Тонировочный инструмент" sheetId="26" r:id="rId18"/>
  </sheets>
  <definedNames>
    <definedName name="_xlnm.Print_Titles" localSheetId="12">Коннекторы!$2:$3</definedName>
    <definedName name="_xlnm.Print_Area" localSheetId="15">ДОП!$A$1:$G$57</definedName>
    <definedName name="_xlnm.Print_Area" localSheetId="2">Изолента!$A$1:$G$54</definedName>
    <definedName name="_xlnm.Print_Area" localSheetId="11">Клеммы!$A$1:$G$44</definedName>
    <definedName name="_xlnm.Print_Area" localSheetId="12">Коннекторы!$A$1:$G$93</definedName>
    <definedName name="_xlnm.Print_Area" localSheetId="8">Концевики!$A$1:$G$13</definedName>
    <definedName name="_xlnm.Print_Area" localSheetId="9">Предохранители!$A$1:$G$36</definedName>
    <definedName name="_xlnm.Print_Area" localSheetId="5">Провода!$A$1:$G$57</definedName>
    <definedName name="_xlnm.Print_Area" localSheetId="7">Реле!$A$1:$G$14</definedName>
    <definedName name="_xlnm.Print_Area" localSheetId="13">Стяжки!$A$1:$G$46</definedName>
    <definedName name="_xlnm.Print_Area" localSheetId="14">Термотрубка!$A$1:$G$22</definedName>
    <definedName name="_xlnm.Print_Area" localSheetId="10">Тюбинг!$A$1:$G$20</definedName>
    <definedName name="_xlnm._FilterDatabase" localSheetId="1" hidden="1">'Заявка'!$A$7:$A$961</definedName>
    <definedName name="_xlnm.Print_Titles" localSheetId="1">'Заявка'!$7:$7</definedName>
    <definedName name="_xlnm.Print_Area" localSheetId="3">'Изолента цвета'!$A$1:$H$35</definedName>
    <definedName name="_xlnm.Print_Area" localSheetId="4">'ПРОМО'!$A$1:$I$14</definedName>
    <definedName name="_xlnm.Print_Area" localSheetId="6">'Провода цвета'!$A$1:$H$94</definedName>
    <definedName name="_xlnm.Print_Area" localSheetId="16">'Защитные покрытия'!$A$1:$H$22</definedName>
    <definedName name="_xlnm.Print_Area" localSheetId="18">'Тонировочный инструмент'!$A$1:$J$103</definedName>
  </definedNames>
  <calcPr fullCalcOnLoad="1" calcId="152511"/>
</workbook>
</file>

<file path=xl/sharedStrings.xml><?xml version="1.0" encoding="utf-8"?>
<sst xmlns="http://schemas.openxmlformats.org/spreadsheetml/2006/main" count="3450" uniqueCount="1599">
  <si>
    <t>Тел./факс: +7(812) 271-44-84; Моб.тел.: +7(911) 771-20-00</t>
  </si>
  <si>
    <t>Прайс-лист на монтажное оборудование и инструмент</t>
  </si>
  <si>
    <t>подробнее</t>
  </si>
  <si>
    <t>Провода</t>
  </si>
  <si>
    <t>Реле</t>
  </si>
  <si>
    <t>Концевые контакты</t>
  </si>
  <si>
    <t>Предохранители, держатели предохранителя</t>
  </si>
  <si>
    <t>Тюбинг для укладки проводов</t>
  </si>
  <si>
    <t>Клеммы</t>
  </si>
  <si>
    <t>Коннекторы</t>
  </si>
  <si>
    <t>Стяжки</t>
  </si>
  <si>
    <t>Термотрубка</t>
  </si>
  <si>
    <t>ДОП (переходники дверные, инструмент, стеклоподъемники и др. товары)</t>
  </si>
  <si>
    <t>Запросить специальное предложение на объем</t>
  </si>
  <si>
    <t>Защитные покрытия</t>
  </si>
  <si>
    <t>Изолента, скотч</t>
  </si>
  <si>
    <t>*не более 3шт. одного наименования по минимальной цене</t>
  </si>
  <si>
    <t>ЗАКАЗАТЬ ОБРАЗЕЦ ДЛЯ ТЕСТИРОВАНИЯ*</t>
  </si>
  <si>
    <t>Компания "Вимар"</t>
  </si>
  <si>
    <t>Мобильные аксессуары</t>
  </si>
  <si>
    <t>любой новый для Вас товар Вы можете получить по минимальной цене</t>
  </si>
  <si>
    <t>Сайт:  https://vk.com/vimar_spb</t>
  </si>
  <si>
    <t>E-mail: office@arttekfilms.ru</t>
  </si>
  <si>
    <t>Сайт:  https://arttekfilms.ru</t>
  </si>
  <si>
    <t>Изолента цвета</t>
  </si>
  <si>
    <t>Провода цвета</t>
  </si>
  <si>
    <t>191167, г. Санкт-Петербург, ул. Александра Невского, д. 9, Литера А, помещ. 11Н-21(215)</t>
  </si>
  <si>
    <t>ПРОМО (Рекламные материалы)</t>
  </si>
  <si>
    <t>Минимальная сумма заказа 17 тысяч рублей</t>
  </si>
  <si>
    <t>Приведенные в прайс-листе характеристики носят информационный характер. Производитель оставляет за собой право на внесение конструктивных изменений. Возможность применения изделия для конкретных целей определяется пользователем путем испытаний.</t>
  </si>
  <si>
    <t xml:space="preserve">Санкт-Петербург:       +7 (812) 271-44 -84; +7 911-771-2000 </t>
  </si>
  <si>
    <t>прайс-лист действителен с 17.08.2026</t>
  </si>
  <si>
    <t>Наименование</t>
  </si>
  <si>
    <t>Краткое описание</t>
  </si>
  <si>
    <t>Торговая  марка</t>
  </si>
  <si>
    <t>В мастер-коробке (уп)</t>
  </si>
  <si>
    <t>цена в рублях при покупке на сумму</t>
  </si>
  <si>
    <t>Мелко-оптовая цена (от 17 000 рублей)</t>
  </si>
  <si>
    <t xml:space="preserve">  От    140 000 рублей</t>
  </si>
  <si>
    <t xml:space="preserve">  От    50 000 рублей</t>
  </si>
  <si>
    <t>Снижение цены</t>
  </si>
  <si>
    <t>Повышение цены</t>
  </si>
  <si>
    <t>Новинка</t>
  </si>
  <si>
    <t>КЛЕЙКИЕ   ЛЕНТЫ</t>
  </si>
  <si>
    <t/>
  </si>
  <si>
    <t>Профессиональные клейкие ленты для автосервиса</t>
  </si>
  <si>
    <t>Изолента класса "premium"</t>
  </si>
  <si>
    <t>IZ 1510S</t>
  </si>
  <si>
    <t xml:space="preserve">ПВХ; черная; 15ммх10м, толщина 0,13мм </t>
  </si>
  <si>
    <t>Terminator</t>
  </si>
  <si>
    <t>-</t>
  </si>
  <si>
    <t>IZ 1920S</t>
  </si>
  <si>
    <t>ПВХ; черная; 19ммх20м, толщина 0,13мм</t>
  </si>
  <si>
    <t>+</t>
  </si>
  <si>
    <t>IZ 1920s-11</t>
  </si>
  <si>
    <t>ПВХ; черная; 19ммх20м, толщина 0,10мм</t>
  </si>
  <si>
    <t>IZC 1510</t>
  </si>
  <si>
    <t>ПВХ; черная; 15ммх10м, толщина 0,15мм, холодостойкая, самозатухающая</t>
  </si>
  <si>
    <t>IZC 1920</t>
  </si>
  <si>
    <t>ПВХ; черная; 19ммх20м, толщина 0,15мм, холодостойкая, самозатухающая</t>
  </si>
  <si>
    <t>IZN 1920</t>
  </si>
  <si>
    <t>ПВХ; черная; беcклеевая (для жгутов)19ммх20м,толщина 0,12мм</t>
  </si>
  <si>
    <t>00645</t>
  </si>
  <si>
    <t xml:space="preserve">ПВХ; черная; 15ммх10м, толщина 0,13мм, суперэластичная </t>
  </si>
  <si>
    <t>00745</t>
  </si>
  <si>
    <t>ПВХ; черная; 15ммх10м, толщина 0,16мм, суперэластичная, холодостойкая</t>
  </si>
  <si>
    <t>Лента малярная класса "premium"</t>
  </si>
  <si>
    <t>MT 5060</t>
  </si>
  <si>
    <t>Креп; белая; 50ммх60м, толщина 0,145мм, серия "Premium"</t>
  </si>
  <si>
    <t>Скотч 2-х сторонний на вспененной основе класса "premium"</t>
  </si>
  <si>
    <t>ST 610</t>
  </si>
  <si>
    <t>П/э вспененный; черный, 6ммх10м, толщина 1мм, для молдингов, эмблем, зеленый лайнер</t>
  </si>
  <si>
    <t>ST 910</t>
  </si>
  <si>
    <t>П/э вспененный; черный, 9ммх10м, толщина 1мм, для молдингов, эмблем, зеленый лайнер</t>
  </si>
  <si>
    <t>ST 1210</t>
  </si>
  <si>
    <t>П/э вспененный; черный, 12ммх10м, толщина 1,0мм, для молдингов, деталей интерьера,  зеленый лайнер</t>
  </si>
  <si>
    <t>ST 1910</t>
  </si>
  <si>
    <t>П/э вспененный; черный, 19ммх10м, толщина 1,0мм, для молдингов, деталей интерьера, зеленый лайнер</t>
  </si>
  <si>
    <t>ST 1950</t>
  </si>
  <si>
    <t>П/э вспененный; черный, 19ммх50м, толщина 1,0мм, для молдингов, деталей интерьера,  зеленый лайнер</t>
  </si>
  <si>
    <t>ST2 385</t>
  </si>
  <si>
    <t>П/э вспененный; черный, 38ммх5м, толщина 1,0мм, для молдингов, деталей интерьера,  зеленый лайнер</t>
  </si>
  <si>
    <t>ST2 3810</t>
  </si>
  <si>
    <t>П/э вспененный; черный, 38ммх10м, толщина 1,0мм, для молдингов, деталей интерьера, зеленый лайнер</t>
  </si>
  <si>
    <t>ST 5010</t>
  </si>
  <si>
    <t>П/э вспененный; черный, 50ммх10м, толщина 1,0мм, для молдингов, деталей интерьера, зеленый лайнер</t>
  </si>
  <si>
    <t>STU 910</t>
  </si>
  <si>
    <t>ЕВА; белый, 9ммх10м, толщина 1,6мм, для молдингов, деталей интерьера, желтый лайнер</t>
  </si>
  <si>
    <t>STU 1910</t>
  </si>
  <si>
    <t>ЕВА; белый, 19ммх10м, толщина 1,6мм, для молдингов, деталей интерьера, желтый лайнер</t>
  </si>
  <si>
    <t>STU 5010</t>
  </si>
  <si>
    <t>ЕВА; белый, 50ммх10м, толщина 1,6мм, для молдингов, деталей интерьера, желтый лайнер</t>
  </si>
  <si>
    <t>Изолента класса "standart"</t>
  </si>
  <si>
    <t>IZT 1925 canvas black</t>
  </si>
  <si>
    <t>ацетат тканый, черная, 19мм*25м, толщина 0,22мм, резиновый клей, прекрасно впитывает смолы и лаки, может использоваться для обмотки трансф.катушек</t>
  </si>
  <si>
    <t>IZT 1925 canvas white</t>
  </si>
  <si>
    <t>ацетат тканый, белая, 19мм*25м, толщина 0,22мм, резиновый клей, прекрасно впитывает смолы и лаки, может использоваться для обмотки трансф.катушек</t>
  </si>
  <si>
    <t>IZT 1925 fabric</t>
  </si>
  <si>
    <t>Полиэстер тканый; черная; 19ммх25м, толщина 0,25 мм, акрилатный чувствительный к давлению клей</t>
  </si>
  <si>
    <t>IZT 1925-19 fabric</t>
  </si>
  <si>
    <t>Полиэстер тканый; черная; 19ммх25м, толщина 0,16 мм, акрилатный чувствительный к давлению клей</t>
  </si>
  <si>
    <t>IZT 1918 fleece</t>
  </si>
  <si>
    <t>Полиэстер нетканый флис; черная; 19ммх18м, толщина 0,28 мм, синт.каучуковый клей</t>
  </si>
  <si>
    <t>IZT 1925 fleece</t>
  </si>
  <si>
    <t>Полиэстер нетканый флис; черная; 19ммх25м, толщина 0,35 мм, акрилатный чувствительный к давлению клей</t>
  </si>
  <si>
    <t>* Важно: характеристики тканевой изоленты (толщина, температурные диапазоны) могут незначительно варьироваться от партии к партии. Эти отличия являются допустимыми в рамках производственных норм и не влияют на функциональные свойства и качество изделия.</t>
  </si>
  <si>
    <t>Автомобильные клейкие ленты широкого применения</t>
  </si>
  <si>
    <t>IZT 1919 fabric DUO black &amp; orange</t>
  </si>
  <si>
    <t>Полиэстер тканый; набор: черная + оранжевая; 19ммх19м, толщина 0,18 мм; акрилатный чувствительный к давлению клей</t>
  </si>
  <si>
    <t>!!!</t>
  </si>
  <si>
    <t>Профессиональные универсальные клейкие ленты</t>
  </si>
  <si>
    <t>IU1K</t>
  </si>
  <si>
    <t>ПВХ; черная; 19ммх20м, толщина 0,18 самозатухающая</t>
  </si>
  <si>
    <t>IU1K цветная</t>
  </si>
  <si>
    <t>ПВХ; цвета в ассортименте(красный, оранжевый, белый, желтый, зеленый,синий, фиолетовый, серый, коричневый); 19ммх20м, толщина 0,18мм, самозатухающая</t>
  </si>
  <si>
    <t>IC6P</t>
  </si>
  <si>
    <t>ПВХ; черная; 19ммх20м, толщина 0,18мм, всепогодная, самозатухающая</t>
  </si>
  <si>
    <t>IC6P white</t>
  </si>
  <si>
    <t>ПВХ; белая; 19ммх20м, толщина 0,18мм, всепогодная, самозатухающая</t>
  </si>
  <si>
    <t>ICA8P</t>
  </si>
  <si>
    <t>ПВХ; черная; 19ммх20м, толщина 0,22мм, всепогодная, самозатухающая, суперпрочная</t>
  </si>
  <si>
    <t>IZR 1910</t>
  </si>
  <si>
    <t>Полиизобутилен; черная; 19ммх10м,самовулканизирующаяся, толщина 0,5 мм</t>
  </si>
  <si>
    <t>IZM 381.5</t>
  </si>
  <si>
    <t>Виниловая мастика; черная; 38ммх1,5м, самовулканизирующаяся, толщина 2,3 мм</t>
  </si>
  <si>
    <t>IZRM 513</t>
  </si>
  <si>
    <t>Резиновая мастика; черная; 51ммх3м, самовулканизирующаяся, толщина 1,65 мм</t>
  </si>
  <si>
    <t>Tarband 19мм х 25м</t>
  </si>
  <si>
    <t>Перкаль; черная; 19ммх25м, двусторонняя, толщина 0,35мм, клей на основе смол</t>
  </si>
  <si>
    <t>Titan</t>
  </si>
  <si>
    <t>IZ 1510FR</t>
  </si>
  <si>
    <t>ПВХ; черная; 15ммх10м, толщина 0,12мм; самозатухающая</t>
  </si>
  <si>
    <t>IZ 1510</t>
  </si>
  <si>
    <t xml:space="preserve">ПВХ; цвета в ассортименте(красный,синий,белый,зеленый,желтый); 15ммх10м, толщина 0,13мм  </t>
  </si>
  <si>
    <t>IZ 1510  green/yellow</t>
  </si>
  <si>
    <t xml:space="preserve">ПВХ; желто/зеленая ; 15ммх10м, толщина 0,12мм    </t>
  </si>
  <si>
    <t>IZ 1918FR</t>
  </si>
  <si>
    <t>ПВХ; черная; 19ммх18,3м, толщина 0,12мм; самозатухающая</t>
  </si>
  <si>
    <t>IZ 1918</t>
  </si>
  <si>
    <t xml:space="preserve">ПВХ; цвета в ассортименте(красный,синий,белый,зеленый,желтый); 19ммх18,3м, толщина 0,12мм    </t>
  </si>
  <si>
    <t>00545</t>
  </si>
  <si>
    <t>ПВХ; черная; 19ммх25м, толщина 0,13мм, самозатухающая</t>
  </si>
  <si>
    <t>Titan 19мм*10м, ПВХ, водостойкая</t>
  </si>
  <si>
    <t>ПВХ; прозрачная; 19ммх10м, толщина 0,13мм, водостойкая</t>
  </si>
  <si>
    <t>Titan 19мм*20м, ПВХ, черная</t>
  </si>
  <si>
    <t>ПВХ; черная; 19ммх20м, толщина 0,13мм, огнеупорная</t>
  </si>
  <si>
    <t>Titan 19мм*20м, ПВХ, синяя</t>
  </si>
  <si>
    <t>ПВХ; синяя; 19ммх20м, толщина 0,13мм, огнеупорная</t>
  </si>
  <si>
    <t>Titan KINGSIZE 50мм*30м, ПВХ, черная</t>
  </si>
  <si>
    <t>ПВХ; черная; 50ммх30м, толщина 0,13мм, огнеупорная</t>
  </si>
  <si>
    <t>Скотч односторонний упаковочный</t>
  </si>
  <si>
    <t>UP4850 (прозрачный)</t>
  </si>
  <si>
    <t>П/э; прозрачный; скотч упаковочный 48мм х 50м, толщина  0,45мм</t>
  </si>
  <si>
    <t>Ленты специального назначения</t>
  </si>
  <si>
    <t>ALU 4550</t>
  </si>
  <si>
    <t>Алюминиевая фольга с клеящим слоем, защищенным силиконизированной бумажной подложкой; 45мм*50м; для защиты  и герметизации швов водосточных труб, воздуховодов</t>
  </si>
  <si>
    <t>ALU 4840</t>
  </si>
  <si>
    <t>Алюминиевая фольга с клеящим слоем, защищенным силиконизированной бумажной подложкой; 48мм*40м; 20 мкм; для защиты  и герметизации швов водосточных труб, воздуховодов</t>
  </si>
  <si>
    <t>ARM 4833</t>
  </si>
  <si>
    <t>Ткань ламинированная полиэтиленом; серый; 48ммх33м; толщина 180мк; для временного ремонта, упаковки, обертывания труб</t>
  </si>
  <si>
    <t>JNOBE 5050</t>
  </si>
  <si>
    <t>Алюминевая лента на полипропиленовой основе; 50мм*50м; для соединения панелей, герметизации соединительных швов</t>
  </si>
  <si>
    <t>DT 4830 черн.</t>
  </si>
  <si>
    <t xml:space="preserve">ПВХ с нанесенным на одну сторону термоустойчивым резиновым клеем; черная; 48мм*30м, толщина 0,12мм; лента для труб </t>
  </si>
  <si>
    <t>DT 4830 серая</t>
  </si>
  <si>
    <t xml:space="preserve">ПВХ с нанесенным на одну сторону термоустойчивым резиновым клеем; серая; 48мм*30м, толщина 0,12мм; лента для труб </t>
  </si>
  <si>
    <t>WT 5033 black/yellow</t>
  </si>
  <si>
    <t>ПВХ; черн./желт.; 50мм*33м, толщина 0,15мм; предупредительная  лента  с клейким слоем, для ограждения и маркирования опасных зон</t>
  </si>
  <si>
    <t>WT 5033 red/white</t>
  </si>
  <si>
    <t>ПВХ; красн./бел.; 50мм*33м, толщина 0,15мм; предупредительная  лента  с клейким слоем, для ограждения и маркирования опасных зон</t>
  </si>
  <si>
    <t>WTN 50200 red/white</t>
  </si>
  <si>
    <t>П/э без клеевого слоя; красн./бел.; 50ммх200м; толщина 50мк,  для ограждения и маркирования опасных зон</t>
  </si>
  <si>
    <t>AST 5050 clear</t>
  </si>
  <si>
    <t>противоскользящая лента 50мм*50м, прозрачная</t>
  </si>
  <si>
    <t>AST 5050 lumin</t>
  </si>
  <si>
    <t>противоскользящая лента 50мм*50м, люминесцентная</t>
  </si>
  <si>
    <t>AST 5050w grey</t>
  </si>
  <si>
    <t>противоскользящая лента 50мм*50м, для влажных мест, серая</t>
  </si>
  <si>
    <t>IU1K red</t>
  </si>
  <si>
    <t>ПВХ; красная; 19ммх20м, толщина 0,18 самозатухающая</t>
  </si>
  <si>
    <t>IU1K orange</t>
  </si>
  <si>
    <t>ПВХ; оранжевая; 19ммх20м, толщина 0,18 самозатухающая</t>
  </si>
  <si>
    <t>IU1K yellow</t>
  </si>
  <si>
    <t>ПВХ; желтая; 19ммх20м, толщина 0,18 самозатухающая</t>
  </si>
  <si>
    <t>IU1K green</t>
  </si>
  <si>
    <t>ПВХ; зеленая; 19ммх20м, толщина 0,18 самозатухающая</t>
  </si>
  <si>
    <t>IU1K blue</t>
  </si>
  <si>
    <t>ПВХ; синяя; 19ммх20м, толщина 0,18 самозатухающая</t>
  </si>
  <si>
    <t xml:space="preserve">IU1K white </t>
  </si>
  <si>
    <t>ПВХ; белая; 19ммх20м, толщина 0,18 самозатухающая</t>
  </si>
  <si>
    <t xml:space="preserve">IU1K violet </t>
  </si>
  <si>
    <t>ПВХ; фиолетовая; 19ммх20м, толщина 0,18 самозатухающая</t>
  </si>
  <si>
    <t>IU1K grey</t>
  </si>
  <si>
    <t>ПВХ; серая; 19ммх20м, толщина 0,18 самозатухающая</t>
  </si>
  <si>
    <t>IU1K brown</t>
  </si>
  <si>
    <t>ПВХ; коричневая; 19ммх20м, толщина 0,18 самозатухающая</t>
  </si>
  <si>
    <t>IZ 1510 red</t>
  </si>
  <si>
    <t xml:space="preserve">ПВХ; красная; 15ммх10м, толщина 0,13мм  </t>
  </si>
  <si>
    <t>IZ 1510 yellow</t>
  </si>
  <si>
    <t xml:space="preserve">ПВХ; желтая; 15ммх10м, толщина 0,13мм  </t>
  </si>
  <si>
    <t>IZ 1510 green</t>
  </si>
  <si>
    <t xml:space="preserve">ПВХ; зеленая; 15ммх10м, толщина 0,13мм  </t>
  </si>
  <si>
    <t>IZ 1510 blue</t>
  </si>
  <si>
    <t xml:space="preserve">ПВХ; синяя 15ммх10м, толщина 0,13мм  </t>
  </si>
  <si>
    <t>IZ 1510 white</t>
  </si>
  <si>
    <t xml:space="preserve">ПВХ; белая; 15ммх10м, толщина 0,13мм  </t>
  </si>
  <si>
    <t>IZ 1918 red</t>
  </si>
  <si>
    <t xml:space="preserve">ПВХ; красная; 19ммх18,3м, толщина 0,13мм  </t>
  </si>
  <si>
    <t>IZ 1918 yellow</t>
  </si>
  <si>
    <t xml:space="preserve">ПВХ; желтая; 19ммх18,3м, толщина 0,13мм  </t>
  </si>
  <si>
    <t>IZ 1918 green</t>
  </si>
  <si>
    <t xml:space="preserve">ПВХ; зеленая; 19ммх18,3м, толщина 0,13мм  </t>
  </si>
  <si>
    <t>IZ 1918 blue</t>
  </si>
  <si>
    <t xml:space="preserve">ПВХ; синяя; 19ммх18,3м, толщина 0,13мм  </t>
  </si>
  <si>
    <t>IZ 1918 white</t>
  </si>
  <si>
    <t xml:space="preserve">ПВХ; белая; 19ммх18,3м, толщина 0,13мм  </t>
  </si>
  <si>
    <t>ПРОМО продукция</t>
  </si>
  <si>
    <t>Blade 5000 PROMO</t>
  </si>
  <si>
    <t>Ультра тонкий пауэрбэнк, тип батареи: Li-Polymer (cell UL approval), Емкость: 5000mAh, размер: 150*65*9.6 мм, вес: 121.3 г</t>
  </si>
  <si>
    <t>специальное предложение только для покупателей изоленты Terminator</t>
  </si>
  <si>
    <t>Листы для заметок TERMINATOR</t>
  </si>
  <si>
    <t>Кубарики на склейке 9см*9см*5, 2см</t>
  </si>
  <si>
    <t>Зонт "TERMINATOR"</t>
  </si>
  <si>
    <t>Зонт-автомат с куполом из переработанного пластика с логотипом "TERMINATOR"</t>
  </si>
  <si>
    <t>D-5.1918-20</t>
  </si>
  <si>
    <t>Диспенсер настенный для  изоленты TERMINATOR на 5 отсеков</t>
  </si>
  <si>
    <t>Плед "TERMINATOR"</t>
  </si>
  <si>
    <t>Термостакан TITAN</t>
  </si>
  <si>
    <t>Термостакан TITAN, белый</t>
  </si>
  <si>
    <t>Ручка c логотипом TERMINATOR</t>
  </si>
  <si>
    <t>Ручка шариковая с логотипом TERMINATOR, цвета: красный, синий</t>
  </si>
  <si>
    <t>Ручка c логотипом TITAN</t>
  </si>
  <si>
    <t>Ручка шариковая с логотипом TITAN, цвет: золотистый</t>
  </si>
  <si>
    <t>ПРОВОДА</t>
  </si>
  <si>
    <t>Провод монтажный двужильный(изоляция винил, красно-черный):</t>
  </si>
  <si>
    <t>бухты 100 метров:</t>
  </si>
  <si>
    <t>CM 0,35 (B)</t>
  </si>
  <si>
    <t>100м, сечение 2*0,35мм², CCA</t>
  </si>
  <si>
    <t>CM 0,5</t>
  </si>
  <si>
    <t>100м, сечение 2*0,5мм², Cu</t>
  </si>
  <si>
    <t>CM 0,5 (B)</t>
  </si>
  <si>
    <t>100м, сечение 2*0,5мм², CCA</t>
  </si>
  <si>
    <t>CM 0,75</t>
  </si>
  <si>
    <t>100м,сечение 2*0,75мм², Cu</t>
  </si>
  <si>
    <t>CM 0,75 (B)</t>
  </si>
  <si>
    <t>100м,сечение 2*0,75мм², CCA</t>
  </si>
  <si>
    <t>CM 1,0</t>
  </si>
  <si>
    <t>100м,сечение 2*1мм², Cu</t>
  </si>
  <si>
    <t>CM 1,0 (B)</t>
  </si>
  <si>
    <t>100м,сечение 2*1мм², CCA</t>
  </si>
  <si>
    <t>CM 1,25</t>
  </si>
  <si>
    <t>100м, сечение 2*1,25мм², Cu</t>
  </si>
  <si>
    <t>CM 1,25 (B)</t>
  </si>
  <si>
    <t>100м,сечение 2*1,25мм², CCA</t>
  </si>
  <si>
    <t>CM 1,5 (B)</t>
  </si>
  <si>
    <t>100м,сечение 2*1,5мм², CCA</t>
  </si>
  <si>
    <t>CM 2,0 (B)</t>
  </si>
  <si>
    <t>100м, сечение 2*2,0мм², CCA</t>
  </si>
  <si>
    <t>CM 2,5 (B)</t>
  </si>
  <si>
    <t>100м, сечение 2*2,5мм², CCA</t>
  </si>
  <si>
    <t>CM 4,0 (B)</t>
  </si>
  <si>
    <t>100м, сечение 2*4,0мм², CCA</t>
  </si>
  <si>
    <t>Кабель монтажный двужильный в двойной изоляции (винил, внешний - черный, цвет оcновной изоляции: красно/черный):</t>
  </si>
  <si>
    <t>PC-2 (B)</t>
  </si>
  <si>
    <t>PC-3 (B)</t>
  </si>
  <si>
    <t>100м,сечение 2*1,0мм², CCA</t>
  </si>
  <si>
    <t>PC-4 (B)</t>
  </si>
  <si>
    <t>Провод монтажный многожильный (изоляция винил):</t>
  </si>
  <si>
    <t>бухты 50 метров:</t>
  </si>
  <si>
    <t>PM 0,75 7-Pin 50м</t>
  </si>
  <si>
    <t>50м, сечение 0,75мм², Cu; цвета изоляции жил: красный, черный, желтый, серый, белый, синий, зеленый</t>
  </si>
  <si>
    <t>PM 1,25 7-Pin 50м</t>
  </si>
  <si>
    <t>50м, сечение 1,25мм², Cu; цвета изоляции жил: красный, черный, желтый, серый, белый, синий, зеленый</t>
  </si>
  <si>
    <t xml:space="preserve">PM 0,35 5-Pin </t>
  </si>
  <si>
    <t>100м, сечение 0,35мм², Cu; цвета изоляции жил: красный, черный, желтый, серый, белый</t>
  </si>
  <si>
    <t xml:space="preserve">PM 0,35 7-Pin </t>
  </si>
  <si>
    <t>100м, сечение 0,35мм², Cu; цвета изоляции жил: красный, черный, желтый, серый, белый, синий, зеленый</t>
  </si>
  <si>
    <t>Провод  монтажный, цвета в ассортименте (черный,красный,коричневый,синий,зеленый,желтый,оранжевый,серый,белый,фиолетовый):</t>
  </si>
  <si>
    <t>PM 0,35 (B)</t>
  </si>
  <si>
    <t>100м, сечение 0,35мм², CCA; цвета в ассортименте</t>
  </si>
  <si>
    <t>PM 0,5</t>
  </si>
  <si>
    <t>100м, сечение 0,5мм², Cu; цвета в ассортименте</t>
  </si>
  <si>
    <t>PM 0,5 (B)</t>
  </si>
  <si>
    <t>100м, сечение 0,5мм², CCA; цвета в ассортименте</t>
  </si>
  <si>
    <t xml:space="preserve">PM 0,75 </t>
  </si>
  <si>
    <t>100м, сечение 0,75мм², Cu; цвета в ассортименте</t>
  </si>
  <si>
    <t>PM 0,75 (B)</t>
  </si>
  <si>
    <t>100м, сечение 0,75мм², CCA; цвета в ассортименте</t>
  </si>
  <si>
    <t>PM 1,0</t>
  </si>
  <si>
    <t>100м, сечение 1мм², Cu; цвета в ассортименте (черный,красный,синий,желтый)</t>
  </si>
  <si>
    <t>PM 1,0 (B)</t>
  </si>
  <si>
    <t>100м, сечение 1мм², CCA,; цвета в ассортименте</t>
  </si>
  <si>
    <t>PM 1,25</t>
  </si>
  <si>
    <t>100м, сечение 1,25мм², Cu; цвета в ассортименте</t>
  </si>
  <si>
    <t>PM 1,25 (B)</t>
  </si>
  <si>
    <t>100м, сечение 1,25мм², CCA; цвета в ассортименте</t>
  </si>
  <si>
    <t>PM 1,5</t>
  </si>
  <si>
    <t>100м, сечение 1,5мм², Cu; цвета в ассортименте (черный,красный,синий,желтый)</t>
  </si>
  <si>
    <t>PM 1,5 (B)</t>
  </si>
  <si>
    <t>100м, сечение 1,5мм², CCA; цвета в ассортименте</t>
  </si>
  <si>
    <t>PM 2,0</t>
  </si>
  <si>
    <t>100м, сечение 2мм², Cu; цвета в ассортименте</t>
  </si>
  <si>
    <t>PM 2,0 (B)</t>
  </si>
  <si>
    <t>100м, сечение 2мм², CCA; цвета в ассортименте (черный,красный,коричневый,синий,зеленый,желтый,оранжевый,серый,белый)</t>
  </si>
  <si>
    <t>PM 2,5 (B)</t>
  </si>
  <si>
    <t>100м, сечение 2,5мм², CCA; цвета в ассортименте (черный,красный)</t>
  </si>
  <si>
    <t>PM 0,35 (B) красн.</t>
  </si>
  <si>
    <t>100м, сечение 0,35мм², CCA; красный</t>
  </si>
  <si>
    <t>PM 0,35 (B) оранж.</t>
  </si>
  <si>
    <t>100м, сечение 0,35мм², CCA; оранжевый</t>
  </si>
  <si>
    <t>PM 0,35 (B) бел.</t>
  </si>
  <si>
    <t>100м, сечение 0,35мм², CCA; белый</t>
  </si>
  <si>
    <t>PM 0,35 (B) зелен.</t>
  </si>
  <si>
    <t>100м, сечение 0,35мм², CCA; зеленый</t>
  </si>
  <si>
    <t>PM 0,35 (B) син.</t>
  </si>
  <si>
    <t>100м, сечение 0,35мм², CCA; синий</t>
  </si>
  <si>
    <t>PM 0,35 (B) кор.</t>
  </si>
  <si>
    <t>100м, сечение 0,35мм², CCA; коричневый</t>
  </si>
  <si>
    <t>PM 0,35 (B) черн.</t>
  </si>
  <si>
    <t>100м, сечение 0,35мм², CCA; черный</t>
  </si>
  <si>
    <t xml:space="preserve">PM 0,5 красн. </t>
  </si>
  <si>
    <t>100м, сечение 0,5мм², Cu; красный</t>
  </si>
  <si>
    <t xml:space="preserve">PM 0,5 зел. </t>
  </si>
  <si>
    <t>100м, сечение 0,5мм², Cu; зеленый</t>
  </si>
  <si>
    <t xml:space="preserve">PM 0,5 син. </t>
  </si>
  <si>
    <t>100м, сечение 0,5мм², Cu; синий</t>
  </si>
  <si>
    <t xml:space="preserve">PM 0,5 кор. </t>
  </si>
  <si>
    <t>100м, сечение 0,5мм², Cu; коричневый</t>
  </si>
  <si>
    <t>PM 0,5 черн.</t>
  </si>
  <si>
    <t>100м, сечение 0,5мм², Cu; черный</t>
  </si>
  <si>
    <t>PM 0,5 (B) красн.</t>
  </si>
  <si>
    <t>100м, сечение 0,5мм², CCA; красный</t>
  </si>
  <si>
    <t>PM 0,5 (B) оранж.</t>
  </si>
  <si>
    <t>100м, сечение 0,5мм², CCA; оранжевый</t>
  </si>
  <si>
    <t>PM 0,5 (B) бел.</t>
  </si>
  <si>
    <t>100м, сечение 0,5мм², CCA; белый</t>
  </si>
  <si>
    <t>PM 0,5 (B) желт.</t>
  </si>
  <si>
    <t>100м, сечение 0,5мм², CCA; желтый</t>
  </si>
  <si>
    <t>PM 0,5 (B) зелен.</t>
  </si>
  <si>
    <t>100м, сечение 0,5мм², CCA; зеленый</t>
  </si>
  <si>
    <t>PM 0,5 (B) син.</t>
  </si>
  <si>
    <t>100м, сечение 0,5мм², CCA; синий</t>
  </si>
  <si>
    <t>PM 0,5 (B) кор.</t>
  </si>
  <si>
    <t>100м, сечение 0,5мм², CCA; коричневый</t>
  </si>
  <si>
    <t>PM 0,5 (B) сер.</t>
  </si>
  <si>
    <t>100м, сечение 0,5мм², CCA; серый</t>
  </si>
  <si>
    <t>PM 0,5 (B) черн.</t>
  </si>
  <si>
    <t>100м, сечение 0,5мм², CCA; черный</t>
  </si>
  <si>
    <t xml:space="preserve">PM 0,75 красн. </t>
  </si>
  <si>
    <t>100м, сечение 0,75мм², Cu; красный</t>
  </si>
  <si>
    <t xml:space="preserve">PM 0,75 оранж. </t>
  </si>
  <si>
    <t>100м, сечение 0,75мм², Cu; оранжевый</t>
  </si>
  <si>
    <t>PM 0,75 желт.</t>
  </si>
  <si>
    <t>100м, сечение 0,75мм², Cu; желтый</t>
  </si>
  <si>
    <t xml:space="preserve">PM 0,75 зел. </t>
  </si>
  <si>
    <t>100м, сечение 0,75мм², Cu; зеленый</t>
  </si>
  <si>
    <t xml:space="preserve">PM 0,75 син. </t>
  </si>
  <si>
    <t>100м, сечение 0,75мм², Cu; синий</t>
  </si>
  <si>
    <t xml:space="preserve">PM 0,75 кор. </t>
  </si>
  <si>
    <t>100м, сечение 0,75мм², Cu; коричневый</t>
  </si>
  <si>
    <t>PM 0,75 черн.</t>
  </si>
  <si>
    <t>100м, сечение 0,75мм², Cu; черный</t>
  </si>
  <si>
    <t>PM 0,75 (B) красн.</t>
  </si>
  <si>
    <t>100м, сечение 0,75мм², CCA; красный</t>
  </si>
  <si>
    <t>PM 0,75 (B) оранж.</t>
  </si>
  <si>
    <t>100м, сечение 0,75мм², CCA; оранжевый</t>
  </si>
  <si>
    <t>PM 0,75 (B) бел.</t>
  </si>
  <si>
    <t>100м, сечение 0,75мм², CCA; белый</t>
  </si>
  <si>
    <t>PM 0,75 (B) желт.</t>
  </si>
  <si>
    <t>100м, сечение 0,75мм², CCA; желтый</t>
  </si>
  <si>
    <t>PM 0,75 (B) зелен.</t>
  </si>
  <si>
    <t>100м, сечение 0,75мм², CCA; зеленый</t>
  </si>
  <si>
    <t>PM 0,75 (B) син.</t>
  </si>
  <si>
    <t>100м, сечение 0,75мм², CCA; синий</t>
  </si>
  <si>
    <t>PM 0,75 (B) кор.</t>
  </si>
  <si>
    <t>100м, сечение 0,75мм², CCA; коричневый</t>
  </si>
  <si>
    <t>PM 0,75 (B) сер.</t>
  </si>
  <si>
    <t>100м, сечение 0,75мм², CCA; серый</t>
  </si>
  <si>
    <t>PM 0,75 (B) фиолет.</t>
  </si>
  <si>
    <t>100м, сечение 0,75мм², CCA; фиолетовый</t>
  </si>
  <si>
    <t>PM 0,75 (B) черн.</t>
  </si>
  <si>
    <t>100м, сечение 0,75мм², CCA; черный</t>
  </si>
  <si>
    <t xml:space="preserve">PM 1,0 красн. </t>
  </si>
  <si>
    <t>100м, сечение 1,0мм², Cu; красный</t>
  </si>
  <si>
    <t>PM 1,0 желт.</t>
  </si>
  <si>
    <t>100м, сечение 1,0мм², Cu; желтый</t>
  </si>
  <si>
    <t xml:space="preserve">PM 1,0 зел. </t>
  </si>
  <si>
    <t>100м, сечение 1,0мм², Cu; зеленый</t>
  </si>
  <si>
    <t xml:space="preserve">PM 1,0 син. </t>
  </si>
  <si>
    <t>100м, сечение 1,0мм², Cu; синий</t>
  </si>
  <si>
    <t xml:space="preserve">PM 1,0 кор. </t>
  </si>
  <si>
    <t>100м, сечение 1,0мм², Cu; коричневый</t>
  </si>
  <si>
    <t>PM 1,0 черн.</t>
  </si>
  <si>
    <t>100м, сечение 1,0мм², Cu; черный</t>
  </si>
  <si>
    <t>PM 1,0 (B) красн.</t>
  </si>
  <si>
    <t>100м, сечение 1,0мм², CCA; красный</t>
  </si>
  <si>
    <t>PM 1,0 (B) желт.</t>
  </si>
  <si>
    <t>100м, сечение 1,0мм², CCA; желтый</t>
  </si>
  <si>
    <t>PM 1,0 (B) зелен.</t>
  </si>
  <si>
    <t>100м, сечение 1,0мм², CCA; зеленый</t>
  </si>
  <si>
    <t>PM 1,0 (B) син.</t>
  </si>
  <si>
    <t>100м, сечение 1,0мм², CCA; синий</t>
  </si>
  <si>
    <t>PM 1,0 (B) кор.</t>
  </si>
  <si>
    <t>100м, сечение 1,0мм², CCA; коричневый</t>
  </si>
  <si>
    <t>PM 1,0 (B) черн.</t>
  </si>
  <si>
    <t>100м, сечение 1,0мм², CCA; черный</t>
  </si>
  <si>
    <t>PM 1,25 черн.</t>
  </si>
  <si>
    <t>100м, сечение 1,25мм², Cu; черный</t>
  </si>
  <si>
    <t>PM 1,25 (B) красн.</t>
  </si>
  <si>
    <t>100м, сечение 1,25мм², CCA; красный</t>
  </si>
  <si>
    <t>PM 1,25 (B) желт.</t>
  </si>
  <si>
    <t>100м, сечение 1,25мм², CCA; желтый</t>
  </si>
  <si>
    <t>PM 1,25 (B) зелен.</t>
  </si>
  <si>
    <t>100м, сечение 1,25мм², CCA; зеленый</t>
  </si>
  <si>
    <t>PM 1,25 (B) син.</t>
  </si>
  <si>
    <t>100м, сечение 1,25мм², CCA; синий</t>
  </si>
  <si>
    <t>PM 1,25 (B) кор.</t>
  </si>
  <si>
    <t>100м, сечение 1,25мм², CCA; коричневый</t>
  </si>
  <si>
    <t>PM 1,25 (B) черн.</t>
  </si>
  <si>
    <t>100м, сечение 1,25мм², CCA; черный</t>
  </si>
  <si>
    <t xml:space="preserve">PM 1,5 красн. </t>
  </si>
  <si>
    <t>100м, сечение 1,5мм², Cu; красный</t>
  </si>
  <si>
    <t>PM 1,5 желт.</t>
  </si>
  <si>
    <t>100м, сечение 1,5мм², Cu; желтый</t>
  </si>
  <si>
    <t xml:space="preserve">PM 1,5 син. </t>
  </si>
  <si>
    <t>100м, сечение 1,5мм², Cu; синий</t>
  </si>
  <si>
    <t>PM 1,5 черн.</t>
  </si>
  <si>
    <t>100м, сечение 1,5мм², Cu; черный</t>
  </si>
  <si>
    <t>PM 1,5 (B) красн.</t>
  </si>
  <si>
    <t>100м, сечение 1,5мм², CCA; красный</t>
  </si>
  <si>
    <t>PM 1,5 (B) оранж.</t>
  </si>
  <si>
    <t>100м, сечение 1,5мм², CCA; оранжевый</t>
  </si>
  <si>
    <t>PM 1,5 (B) бел.</t>
  </si>
  <si>
    <t>100м, сечение 1,5мм², CCA; белый</t>
  </si>
  <si>
    <t>PM 1,5 (B) желт.</t>
  </si>
  <si>
    <t>100м, сечение 1,5мм², CCA; желтый</t>
  </si>
  <si>
    <t>PM 1,5 (B) зелен.</t>
  </si>
  <si>
    <t>100м, сечение 1,5мм², CCA; зеленый</t>
  </si>
  <si>
    <t>PM 1,5 (B) син.</t>
  </si>
  <si>
    <t>100м, сечение 1,5мм², CCA; синий</t>
  </si>
  <si>
    <t>PM 1,5 (B) кор.</t>
  </si>
  <si>
    <t>100м, сечение 1,5мм², CCA; коричневый</t>
  </si>
  <si>
    <t>PM 1,5 (B) сер.</t>
  </si>
  <si>
    <t>100м, сечение 1,5мм², CCA; фиолетовый</t>
  </si>
  <si>
    <t>PM 1,5 (B) черн.</t>
  </si>
  <si>
    <t>100м, сечение 1,5мм², CCA; черный</t>
  </si>
  <si>
    <t xml:space="preserve">PM 2,0 красн. </t>
  </si>
  <si>
    <t>100м, сечение 2,0мм², Cu; красный</t>
  </si>
  <si>
    <t>PM 2,0 желт.</t>
  </si>
  <si>
    <t>100м, сечение 2,0мм², Cu; желтый</t>
  </si>
  <si>
    <t xml:space="preserve">PM 2,0 син. </t>
  </si>
  <si>
    <t>100м, сечение 2,0мм², Cu; синий</t>
  </si>
  <si>
    <t>PM 2,0 черн.</t>
  </si>
  <si>
    <t>100м, сечение 2,0мм², Cu; черный</t>
  </si>
  <si>
    <t>PM 2,0 (B) красн.</t>
  </si>
  <si>
    <t>100м, сечение 2,0мм², CCA; красный</t>
  </si>
  <si>
    <t>PM 2,0 (B) оранж.</t>
  </si>
  <si>
    <t>100м, сечение 2,0мм², CCA; оранжевый</t>
  </si>
  <si>
    <t>PM 2,0 (B) бел.</t>
  </si>
  <si>
    <t>100м, сечение 2,0мм², CCA; белый</t>
  </si>
  <si>
    <t>PM 2,0 (B) желт.</t>
  </si>
  <si>
    <t>100м, сечение 2,0мм², CCA; желтый</t>
  </si>
  <si>
    <t>PM 2,0 (B) зелен.</t>
  </si>
  <si>
    <t>100м, сечение 2,0мм², CCA; зеленый</t>
  </si>
  <si>
    <t>PM 2,0 (B) син.</t>
  </si>
  <si>
    <t>100м, сечение 2,0мм², CCA; синий</t>
  </si>
  <si>
    <t>PM 2,0 (B) кор.</t>
  </si>
  <si>
    <t>100м, сечение 2,0мм², CCA; коричневый</t>
  </si>
  <si>
    <t>PM 2,0 (B) сер.</t>
  </si>
  <si>
    <t>100м, сечение 2,0мм², CCA; фиолетовый</t>
  </si>
  <si>
    <t>PM 2,0 (B) черн.</t>
  </si>
  <si>
    <t>100м, сечение 2,0мм², CCA; черный</t>
  </si>
  <si>
    <t>PM 2,5 (B) красн.</t>
  </si>
  <si>
    <t>100м, сечение 2,5мм², CCA; красный</t>
  </si>
  <si>
    <t>PM 2,5 (B) черн.</t>
  </si>
  <si>
    <t>100м, сечение 2,5мм², CCA; черный</t>
  </si>
  <si>
    <t>РЕЛЕ БЛОКИРОВКИ И КОЛОДКИ К НИМ</t>
  </si>
  <si>
    <t>Реле блокировки без резистора</t>
  </si>
  <si>
    <t>AQR 12/10 MINI</t>
  </si>
  <si>
    <t>5 контактов, MINI, без Разъема, 10А, 12В, в упаковке 100 шт, цена за штуку</t>
  </si>
  <si>
    <t>AQR 12/15 MINI</t>
  </si>
  <si>
    <t>5 контактов, MINI, без Разъема, 15А, 12В, в упаковке 100 шт, цена за штуку</t>
  </si>
  <si>
    <t>AQR 12/20 MINI</t>
  </si>
  <si>
    <t>5 контактов, MINI, без Разъема, 20А, 12В, в упаковке 25 шт, цена за штуку</t>
  </si>
  <si>
    <t>AQR 12/40SF-4</t>
  </si>
  <si>
    <t>4 контакта, без Разъема, 40А, 12В, флюсостойкий пылезащ. корпус 27x28x25, пластик.брекет</t>
  </si>
  <si>
    <t>под заказ.мин. Партия 5000 шт</t>
  </si>
  <si>
    <t>AQR 12/40SF-5</t>
  </si>
  <si>
    <t>5 контактов, без Разъема, 40А, 12В, флюсостойкий пылезащ. корпус 27x28x25, пластик.брекет</t>
  </si>
  <si>
    <t>AQR 24/40SF-5</t>
  </si>
  <si>
    <t>5 контактов, без Разъема, 40А, 24В,  флюсостойкий пылезащ. корпус 27x28x25, пластик.брекет</t>
  </si>
  <si>
    <t>AQR 12/40SW-5</t>
  </si>
  <si>
    <t>5 контактов, без Разъема, 40А, 12В,  герметичный корпус 27x28x25, металлический брекет</t>
  </si>
  <si>
    <t>AQR 12/40SW-5 (F)</t>
  </si>
  <si>
    <t>5 контактов, без Разъема, 40А, 12В, герметичный корпус 27x28x25, пластик.брекет</t>
  </si>
  <si>
    <t>AQR 12/40SW-5 (М)</t>
  </si>
  <si>
    <t>5 контактов: 2 конт. 6,3мм, 3конт.4,8мм, без Разъема, 40А, 12В, герметичный корпус 20,5x15x22, без брекета</t>
  </si>
  <si>
    <t>Колодки к реле</t>
  </si>
  <si>
    <t>AQR 16-15 MINI</t>
  </si>
  <si>
    <t>колодка к мини реле AQR 12/15 MINI и AQR 12/10 MINI, пятипроводная</t>
  </si>
  <si>
    <t>AQR 16-20 MINI</t>
  </si>
  <si>
    <t>колодка к мини реле AQR 12/20 MINI, пятипроводная</t>
  </si>
  <si>
    <t>AQR 16-5</t>
  </si>
  <si>
    <t>колодка к реле AQR 12/40SW-5 (М), пятипроводная, с брекетом, наборная в линейку</t>
  </si>
  <si>
    <t>AQR 16-5D</t>
  </si>
  <si>
    <t>колодка к реле, пятипроводная с диодом, "квадрат", провода: L=19см; сечение 2*0,75мм² и 3*2,0мм²</t>
  </si>
  <si>
    <t>AQR 16-5DK</t>
  </si>
  <si>
    <t>колодка к реле, пятипроводная с диодом, "крест", провода: L=19см; сечение 2*0,75мм² и 3*2,0мм²</t>
  </si>
  <si>
    <t>AQR 16-4/4,8</t>
  </si>
  <si>
    <t>колодка к реле AQR 12/40SP-4, четырехпроводная , провода L=16см</t>
  </si>
  <si>
    <t>AQA 5 (100шт)</t>
  </si>
  <si>
    <t>корпус колодки "квадрат" для 5-ти контактного реле без проводов и клемм (100шт)</t>
  </si>
  <si>
    <t>AQA 6 (100шт)</t>
  </si>
  <si>
    <t>корпус колодки "крест" для 5-ти контактного реле без проводов и клемм, наборный в линейку(100шт), черный</t>
  </si>
  <si>
    <t>КОНЦЕВЫЕ КОНТАКТЫ</t>
  </si>
  <si>
    <t>AQM 21</t>
  </si>
  <si>
    <t>Металлический шток. Мin высота выступающей части. Цилиндрический контакт и резьба.</t>
  </si>
  <si>
    <t>AQM 22</t>
  </si>
  <si>
    <t>Концевой контакт общего назначения. Пластмассовый шток. Две контргайки. Ножевой контакт и резьба. Регулировка по высоте.</t>
  </si>
  <si>
    <t>AQM 25В</t>
  </si>
  <si>
    <t>На сдвижную дверь для кузовов фургонного типа.</t>
  </si>
  <si>
    <t>AQM 30A с пыльником</t>
  </si>
  <si>
    <t>для ВАЗ 2114-15, 1119, "Шевроле-Нива", "Приора", "Лада-Гранта" с пыльником</t>
  </si>
  <si>
    <t>WH-3P-F (мама)</t>
  </si>
  <si>
    <t>Герметичный Разъем для концевика AQM 30A, произв. Россия</t>
  </si>
  <si>
    <t>Герметичный Разъем для концевика AQM 30A, произв. Тайвань</t>
  </si>
  <si>
    <t>AQM 30B</t>
  </si>
  <si>
    <t>Корпус с неподвижным фланцем. Пластмассовый шток, регулируемый по высоте. Ножевой контакт. Герметичный резиновый протектор.</t>
  </si>
  <si>
    <t>AQM 40A</t>
  </si>
  <si>
    <t xml:space="preserve">Металлические кронштейны для концевых выключателей. Отверстие с резьбой и регулировочные прорези. Пластина прямая. </t>
  </si>
  <si>
    <t>AQM 40AL</t>
  </si>
  <si>
    <t>Металлические кронштейны для концевых выключателей. Отверстие с резьбой и регулировочные прорези. Пластина гнутая</t>
  </si>
  <si>
    <t>AQM 54 с пыльником</t>
  </si>
  <si>
    <t>на Lada Largus, Renault  Logan фаза 1, Logan фаза 2, Sandero, Sandero stepway, Duster</t>
  </si>
  <si>
    <t>Разъем для концевика AQM 54, произв. Россия</t>
  </si>
  <si>
    <t>Разъем для концевика AQM 54, произв. Тайвань</t>
  </si>
  <si>
    <t>ДЕРЖАТЕЛИ ПРЕДОХРАНИТЕЛЯ И ПРЕДОХРАНИТЕЛИ АВТОМОБИЛЬНЫЕ ПЛАВКИЕ, НОЖЕВОГО ТИПА</t>
  </si>
  <si>
    <t>Предохранители, 50 шт:</t>
  </si>
  <si>
    <t>PRMICRO 10</t>
  </si>
  <si>
    <t>10А, размер-micro</t>
  </si>
  <si>
    <t>PRMICRO 15</t>
  </si>
  <si>
    <t>15А, размер-micro</t>
  </si>
  <si>
    <t>PRMICRO 20</t>
  </si>
  <si>
    <t>20А, размер-micro</t>
  </si>
  <si>
    <t>PRMICRO 30</t>
  </si>
  <si>
    <t>30А, размер-micro</t>
  </si>
  <si>
    <t>PRM 3</t>
  </si>
  <si>
    <t xml:space="preserve">3А, размер-mini </t>
  </si>
  <si>
    <t>PRM 5</t>
  </si>
  <si>
    <t xml:space="preserve">5А, размер-mini </t>
  </si>
  <si>
    <t>PRM 7,5</t>
  </si>
  <si>
    <t xml:space="preserve">7А, размер-mini </t>
  </si>
  <si>
    <t>PRM 10</t>
  </si>
  <si>
    <t xml:space="preserve">10А, размер-mini </t>
  </si>
  <si>
    <t>PRM 15</t>
  </si>
  <si>
    <t xml:space="preserve">15А, размер-mini </t>
  </si>
  <si>
    <t>PRM 20</t>
  </si>
  <si>
    <t xml:space="preserve">20А, размер-mini </t>
  </si>
  <si>
    <t>PRM 25</t>
  </si>
  <si>
    <t>25А, размер-mini</t>
  </si>
  <si>
    <t>PRM 30</t>
  </si>
  <si>
    <t>30А, размер-mini</t>
  </si>
  <si>
    <t>FN 20A</t>
  </si>
  <si>
    <t>Tesla</t>
  </si>
  <si>
    <t>FN 25A</t>
  </si>
  <si>
    <t xml:space="preserve">25А, размер-mini </t>
  </si>
  <si>
    <t>FN 30A</t>
  </si>
  <si>
    <t xml:space="preserve">30А, размер-mini </t>
  </si>
  <si>
    <t>PR 1</t>
  </si>
  <si>
    <t>1А, размер-standard</t>
  </si>
  <si>
    <t>PR 3</t>
  </si>
  <si>
    <t>3А, размер-standard</t>
  </si>
  <si>
    <t>PR 5</t>
  </si>
  <si>
    <t>5А, размер-standard</t>
  </si>
  <si>
    <t>PR 7,5</t>
  </si>
  <si>
    <t>7,5А, размер-standard</t>
  </si>
  <si>
    <t>PR 10</t>
  </si>
  <si>
    <t>10А, размер-standard</t>
  </si>
  <si>
    <t>PR 15</t>
  </si>
  <si>
    <t>15А, размер-standard</t>
  </si>
  <si>
    <t>PR 20</t>
  </si>
  <si>
    <t>20А, размер-standard</t>
  </si>
  <si>
    <t>PR 25</t>
  </si>
  <si>
    <t>25А, размер-standard</t>
  </si>
  <si>
    <t>PR 30</t>
  </si>
  <si>
    <t>30А, размер-standard</t>
  </si>
  <si>
    <t>PR 40</t>
  </si>
  <si>
    <t>40А, размер-standard</t>
  </si>
  <si>
    <t>PRX 20</t>
  </si>
  <si>
    <t>20А, размер-maxi</t>
  </si>
  <si>
    <t>PRX 30</t>
  </si>
  <si>
    <t>30А, размер-maxi</t>
  </si>
  <si>
    <t>Наборы предохранителей:</t>
  </si>
  <si>
    <t>F 152</t>
  </si>
  <si>
    <t>Комплект предохранителей 10шт; 5А-25А; тип "ТОРПЕДО"; блистер</t>
  </si>
  <si>
    <t>Держатель предохранителей/разветвитель, 25 шт:</t>
  </si>
  <si>
    <t>DPRC 7,5 micro</t>
  </si>
  <si>
    <t>для 7,5А, с крышкой; VINYL, размер-micro, сечение провода 1,3 мм²</t>
  </si>
  <si>
    <t>DPRC 20 micro</t>
  </si>
  <si>
    <t>для 20А, с крышкой; VINYL, размер-micro, сечение провода 3,3 мм²</t>
  </si>
  <si>
    <t>Держатель предохранителей, 25 шт:</t>
  </si>
  <si>
    <t>DPRC 7,5 mini</t>
  </si>
  <si>
    <t>для 7,5А, с крышкой; VINYL, размер-mini, сечение провода 1,3 мм²</t>
  </si>
  <si>
    <t>DPRC 20 mini</t>
  </si>
  <si>
    <t>для 20А, с крышкой; VINYL, размер-mini, сечение провода 3,3 мм²</t>
  </si>
  <si>
    <t>DPRC 7,5 RED</t>
  </si>
  <si>
    <t>для 7,5А, с крышкой; VINYL, размер-standart, красн., сечение провода 1,3 мм²</t>
  </si>
  <si>
    <t>DPRC 15 RED</t>
  </si>
  <si>
    <t>для 15А, с крышкой;  VINYL, размер-standart, красн., сечение провода 2,1 мм²</t>
  </si>
  <si>
    <t>DPRC 20 RED</t>
  </si>
  <si>
    <t>для 20А, с крышкой;  VINYL, размер-standart, красн., сечение провода 3,3 мм²</t>
  </si>
  <si>
    <t>DPRC 30 RED</t>
  </si>
  <si>
    <t>для 30А, с крышкой;  VINYL, размер-standart, красн., сечение провода 5,3 мм²</t>
  </si>
  <si>
    <t>DPRC 7,5 BLACK</t>
  </si>
  <si>
    <t>для 7,5А, с крышкой; VINYL, размер-standart, черн., сечение провода 1,3 мм²</t>
  </si>
  <si>
    <t>DPRC 15 BLACK</t>
  </si>
  <si>
    <t>для 15А, с крышкой;  VINYL, размер-standart, черн., сечение провода 2,1 мм²</t>
  </si>
  <si>
    <t>DPRC 20 BLACK</t>
  </si>
  <si>
    <t>для 20А, с крышкой;  VINYL, размер-standart, черн., сечение провода 3,3 мм²</t>
  </si>
  <si>
    <t>DPRC 30 BLACK</t>
  </si>
  <si>
    <t>для 30А, с крышкой;  VINYL, размер-standart, черн., сечение провода 5,3 мм²</t>
  </si>
  <si>
    <t>ТЮБИНГ ДЛЯ УКЛАДКИ ПРОВОДОВ</t>
  </si>
  <si>
    <t>Кембрик</t>
  </si>
  <si>
    <t>KM-5</t>
  </si>
  <si>
    <t>Кембрик пвх, диам.5 мм, черн., длина 200 м</t>
  </si>
  <si>
    <t>KM-6</t>
  </si>
  <si>
    <t>Кембрик пвх, диам.6 мм, черн., длина 200 м</t>
  </si>
  <si>
    <t>KM-10</t>
  </si>
  <si>
    <t>Кембрик пвх, диам.10 мм, черн., длина 100 м</t>
  </si>
  <si>
    <t>Защитная оплетка "змеиная кожа"</t>
  </si>
  <si>
    <t>SS-5 (10м) черн.</t>
  </si>
  <si>
    <t>номинальный размер: 6 мм, длина 10 м, диаметр 3-9 мм</t>
  </si>
  <si>
    <t>SS-5 (10м) син.</t>
  </si>
  <si>
    <t>SS-5 (15м) черн.</t>
  </si>
  <si>
    <t>номинальный размер: 6 мм, длина 15 м, диаметр 3-9 мм</t>
  </si>
  <si>
    <t>SS-5 (15м) красн.</t>
  </si>
  <si>
    <t>SS-5 (15м) син.</t>
  </si>
  <si>
    <t>SS-5 (15м) зел</t>
  </si>
  <si>
    <t>SS-5 (100м) черн.</t>
  </si>
  <si>
    <t>номинальный размер: 6 мм, длина 100 м, диаметр 3-9 мм</t>
  </si>
  <si>
    <t>SS-10 (10м) черн.</t>
  </si>
  <si>
    <t>номинальный размер: 10 мм, длина 10 м, диаметр 7-19 мм</t>
  </si>
  <si>
    <t>SS-10 (100м) черн.</t>
  </si>
  <si>
    <t>номинальный размер: 10 мм, длина 100 м, диаметр 7-19 мм</t>
  </si>
  <si>
    <t>SS-10 (10м) графит</t>
  </si>
  <si>
    <t>SS-10 (100м) графит</t>
  </si>
  <si>
    <t>SS-10 (10м) красн.</t>
  </si>
  <si>
    <t>SS-10 (100м) красн.</t>
  </si>
  <si>
    <t>SS-10 (10м) зел.</t>
  </si>
  <si>
    <t>SS-10 (100м) фуксия</t>
  </si>
  <si>
    <t>SS-10 (10м) фуксия</t>
  </si>
  <si>
    <t>SS-10 (10м) желт.</t>
  </si>
  <si>
    <t>SS-10 (10м) оранж.</t>
  </si>
  <si>
    <t>SS-10 (10м) син.</t>
  </si>
  <si>
    <t>SS-15 (10м) черн.</t>
  </si>
  <si>
    <t>номинальный размер: 15 мм, длина 10 м, диаметр 10-27 мм</t>
  </si>
  <si>
    <t>SS-15 (100м) черн.</t>
  </si>
  <si>
    <t>номинальный размер: 15 мм, длина 100 м, диаметр 10-27 мм</t>
  </si>
  <si>
    <t>SS-15 (10м) графит</t>
  </si>
  <si>
    <t>SS-15 (10м) красн.</t>
  </si>
  <si>
    <t>SS-15 (10м) син.</t>
  </si>
  <si>
    <t>SS-20 (5м) черн.</t>
  </si>
  <si>
    <t>номинальный размер: 20 мм, длина 5 м, диаметр 14-30 мм</t>
  </si>
  <si>
    <t>SS-20 (100м) черн.</t>
  </si>
  <si>
    <t>номинальный размер: 20 мм, длина 100 м, диаметр 14-30 мм</t>
  </si>
  <si>
    <t>SS-30 (5м) черн.</t>
  </si>
  <si>
    <t>номинальный размер: 30 мм, длина 5 м, диаметр 20-50 мм</t>
  </si>
  <si>
    <t>SS-30 (100м) черн.</t>
  </si>
  <si>
    <t>номинальный размер: 30 мм, длина 100 м, диаметр 20-50 мм</t>
  </si>
  <si>
    <t>SS-40 (5м) черн.</t>
  </si>
  <si>
    <t>номинальный размер: 40 мм, длина 5 м, диаметр 30-60 мм</t>
  </si>
  <si>
    <t>SS-40 (100м) черн.</t>
  </si>
  <si>
    <t>номинальный размер: 40 мм, длина 100 м, диаметр 30-60 мм</t>
  </si>
  <si>
    <t>SS-80 (100м)</t>
  </si>
  <si>
    <t>номинальный размер: 76 мм, длина 100 м, диаметр 64-120 мм</t>
  </si>
  <si>
    <t>Самоскручивающаяся защитная оплетка тип "змеиная кожа" с разрезом</t>
  </si>
  <si>
    <t>SS-10SC (100м)</t>
  </si>
  <si>
    <t>самоскручивающаяся змеиная кожа с разрезом, вн. диаметр 13мм, перекрытие краев 25%, диапазон рабочих температур: -50°С +150°С</t>
  </si>
  <si>
    <t>Термоусаживаемая оплетка, коэффициент усадки 2:1</t>
  </si>
  <si>
    <t>SSA-10 (5м) черн.</t>
  </si>
  <si>
    <t>диаметр 10 мм, длина 5м</t>
  </si>
  <si>
    <t>SSA-20 (5м) черн.</t>
  </si>
  <si>
    <t>диаметр 20 мм, длина 5м</t>
  </si>
  <si>
    <t>SSA-20 (50м) черн.</t>
  </si>
  <si>
    <t>диаметр 20 мм, длина 50м</t>
  </si>
  <si>
    <t>SSA-40 (2,5м) черн.</t>
  </si>
  <si>
    <t>диаметр 40 мм, длина 2,5м</t>
  </si>
  <si>
    <t>SSA-40 (50м) черн.</t>
  </si>
  <si>
    <t>диаметр 40 мм, длина 50м</t>
  </si>
  <si>
    <t>SSA-70 (50м) черн.</t>
  </si>
  <si>
    <t>диаметр 70 мм, длина 50м</t>
  </si>
  <si>
    <t>SSA-70 черн.на отрез</t>
  </si>
  <si>
    <t>диаметр 70 мм, цена за 1м</t>
  </si>
  <si>
    <t>Гофрированный, длина 10 метров:</t>
  </si>
  <si>
    <t>SLT-4 (10)</t>
  </si>
  <si>
    <t>диаметр 4,6 мм, с разрезом</t>
  </si>
  <si>
    <t>SLT-4 (10) без разреза</t>
  </si>
  <si>
    <t>диаметр 4,6 мм, без разреза</t>
  </si>
  <si>
    <t>SLT-7 (10)</t>
  </si>
  <si>
    <t>диаметр 6,6 мм, с разрезом</t>
  </si>
  <si>
    <t>SLT-7 (10) без разреза</t>
  </si>
  <si>
    <t>диаметр 6,6 мм, без разреза</t>
  </si>
  <si>
    <t>SLT-10 (10)</t>
  </si>
  <si>
    <t>диаметр 9,7 мм, с разрезом</t>
  </si>
  <si>
    <t>SLT-10 (10) без разреза</t>
  </si>
  <si>
    <t>диаметр 9,7 мм, без разреза</t>
  </si>
  <si>
    <t>SLT-13 (10)</t>
  </si>
  <si>
    <t>диаметр 13 мм, с разрезом</t>
  </si>
  <si>
    <t>SLT-13 (10) без разреза</t>
  </si>
  <si>
    <t>диаметр 13 мм, без разреза</t>
  </si>
  <si>
    <t>SLT-17 (10)</t>
  </si>
  <si>
    <t>диаметр 15,7 мм, с разрезом</t>
  </si>
  <si>
    <t>SLT-17 (10) без разреза</t>
  </si>
  <si>
    <t>диаметр 15,7 мм, без разреза</t>
  </si>
  <si>
    <t>Тюбинг гофрированный, длина 25 метров:</t>
  </si>
  <si>
    <t>SLT-30 (25)</t>
  </si>
  <si>
    <t>диаметр 25,8 мм, c разрезом</t>
  </si>
  <si>
    <t>Тюбинг гофрированный, длина 50 метров:</t>
  </si>
  <si>
    <t>SLT-7 (50)</t>
  </si>
  <si>
    <t>SLT-10 (50)</t>
  </si>
  <si>
    <t>SLT-10 (50) без разреза</t>
  </si>
  <si>
    <t>SLT-13 (50)</t>
  </si>
  <si>
    <t>SLT-17 (50)</t>
  </si>
  <si>
    <t>Тюбинг гофрированный, длина 100 метров:</t>
  </si>
  <si>
    <t>SLT-4 (100)</t>
  </si>
  <si>
    <t>SLT-4 (100) без разреза</t>
  </si>
  <si>
    <t>Тюбинг спиральный 10метров:</t>
  </si>
  <si>
    <t>SPT-4,5</t>
  </si>
  <si>
    <t>рабочий диапазон:4,5мм-25мм, черный</t>
  </si>
  <si>
    <t>SPT-6</t>
  </si>
  <si>
    <t>рабочий диапазон:5мм-25мм, черный</t>
  </si>
  <si>
    <t>SPT-15</t>
  </si>
  <si>
    <t>рабочий диапазон:12мм-35мм, черный</t>
  </si>
  <si>
    <t>SPT-15 natural</t>
  </si>
  <si>
    <t>рабочий диапазон:12мм-35мм, белый</t>
  </si>
  <si>
    <t>SPT-19</t>
  </si>
  <si>
    <t>рабочий диапазон:15мм-50мм, черный</t>
  </si>
  <si>
    <t>SPT-19 natural</t>
  </si>
  <si>
    <t>рабочий диапазон:15мм-50мм, белый</t>
  </si>
  <si>
    <t>SPT-24</t>
  </si>
  <si>
    <t>рабочий диапазон:20мм-100мм, черный</t>
  </si>
  <si>
    <t>В связи с вступлением в силу требований по обязательной маркировке радиоэлектронной продукции (Постановление Правительства РФ № 1954)  с 1 декабря 2026 г. — наступает запрет оборота немаркированной радиоэлектронной продукции. Все немаркированные остатки должны быть распроданы либо промаркированы. Товары код ТНВЭД 8536699008 и 8536901000</t>
  </si>
  <si>
    <t>С  1 мая 2026 года до 30 ноября 2026 года все участники оборота товаров могут начать маркировать остатки товаров, произведенных до 1 мая 2026 года (продажа и отгрузка немаркированных остатков до 01.12.2026 разрешены).</t>
  </si>
  <si>
    <t>КЛЕММЫ ОБЖИМНЫЕ</t>
  </si>
  <si>
    <t>Кольцевые без изоляции, 100 шт.</t>
  </si>
  <si>
    <t>RNB 1-4</t>
  </si>
  <si>
    <t xml:space="preserve">диам. 4,3мм , 0,5-1,5мм²                                                        </t>
  </si>
  <si>
    <t>RNB 1-5</t>
  </si>
  <si>
    <t>диам. 5,3мм, 0,5-1,5мм²</t>
  </si>
  <si>
    <t>RNB 1-6</t>
  </si>
  <si>
    <t>диам. 6,7мм, 0,5-1,5мм²</t>
  </si>
  <si>
    <t>RNB 2-6</t>
  </si>
  <si>
    <t>диам. 6,4мм, 1,5-2,5мм²</t>
  </si>
  <si>
    <t>RNB 5-8</t>
  </si>
  <si>
    <t xml:space="preserve">диам. 8,4мм, 4-6мм²                                                        </t>
  </si>
  <si>
    <t>Кольцевые без изоляции, латунь, 100шт.</t>
  </si>
  <si>
    <t>LR 1-6-0,8</t>
  </si>
  <si>
    <t>клемма кольцевая, диам. 6мм, сечение провода 0,5-0,8мм²</t>
  </si>
  <si>
    <t>LR 1-8-1,5</t>
  </si>
  <si>
    <t>клемма кольцевая, диам. 8мм, сечение провода 1-1,5мм²</t>
  </si>
  <si>
    <t>LR 1-10-1,5</t>
  </si>
  <si>
    <t>клемма кольцевая, диам. 10мм, сечение провода 1-1,5мм²</t>
  </si>
  <si>
    <t>LR 2-5-2,5</t>
  </si>
  <si>
    <t>клемма кольцевая, диам. 5мм, сечение провода 1,5-2,5мм²</t>
  </si>
  <si>
    <t>LR 2-6-2,5</t>
  </si>
  <si>
    <t>клемма кольцевая, диам. 6мм, сечение провода 1,5-2,5мм²</t>
  </si>
  <si>
    <t>LR 4-6-4,0</t>
  </si>
  <si>
    <t>клемма кольцевая, диам. 6мм, сечение провода 2,5-4,0мм²</t>
  </si>
  <si>
    <t>LR 1-5Z-1,5</t>
  </si>
  <si>
    <t>клемма кольцевая, диам. 5мм, отверстие "звездочка", сечение провода 1-1,5мм²</t>
  </si>
  <si>
    <t>Кольцевые в изоляции vinyl, 100 шт.</t>
  </si>
  <si>
    <t>RV 1-3,2</t>
  </si>
  <si>
    <t xml:space="preserve">диам. 3,2мм, 0,5-1,5мм²     </t>
  </si>
  <si>
    <t>RV  1-4</t>
  </si>
  <si>
    <t xml:space="preserve">диам. 4,3мм, 0,5-1,5мм²                                                                      </t>
  </si>
  <si>
    <t>RV  1-5</t>
  </si>
  <si>
    <t>RV 1-6</t>
  </si>
  <si>
    <t>диам. 6,4мм, 0,5-1,5мм²</t>
  </si>
  <si>
    <t>RV 1-8</t>
  </si>
  <si>
    <t xml:space="preserve">диам. 8,4мм, 0,5-1,5мм²    </t>
  </si>
  <si>
    <t>RV 1-10</t>
  </si>
  <si>
    <t>диам. 10,5мм, 0,5-1,5мм²</t>
  </si>
  <si>
    <t>RV 1-12</t>
  </si>
  <si>
    <t>диам. 12,3мм, 0,5-1,5мм²</t>
  </si>
  <si>
    <t>RV M 2-3,7</t>
  </si>
  <si>
    <t>диам. 3,7мм, 1,5-2,5мм²</t>
  </si>
  <si>
    <t>RV 2-5</t>
  </si>
  <si>
    <t>диам. 5мм, 1,5-2,5мм²</t>
  </si>
  <si>
    <t>RV 2-6</t>
  </si>
  <si>
    <t>RV 2-8</t>
  </si>
  <si>
    <t xml:space="preserve">диам. 8,4мм , 1,5-2,5мм²                                                                  </t>
  </si>
  <si>
    <t>RV 2-10</t>
  </si>
  <si>
    <t>диам. 10,5мм, 1,5-2,5мм²</t>
  </si>
  <si>
    <t>RV 2-12</t>
  </si>
  <si>
    <t xml:space="preserve">диам. 12мм , 1,5-2,5мм²                                                                 </t>
  </si>
  <si>
    <t>RVS 5-5</t>
  </si>
  <si>
    <t xml:space="preserve">диам. 5,3мм , 4-6мм²                                                         </t>
  </si>
  <si>
    <t>RV 5-6</t>
  </si>
  <si>
    <t>диам. 6,4мм, 4-6мм²</t>
  </si>
  <si>
    <t>RV 5-8</t>
  </si>
  <si>
    <t xml:space="preserve">диам. 8,4мм, 4-6мм²                                                      </t>
  </si>
  <si>
    <t>RV 5-10</t>
  </si>
  <si>
    <t>диам. 10,5мм, 4-6мм²</t>
  </si>
  <si>
    <t>RV 5-12</t>
  </si>
  <si>
    <t>диам. 13мм, 4-6мм²</t>
  </si>
  <si>
    <t>Y-образные в изоляции vinyl, 100 шт.</t>
  </si>
  <si>
    <t>SV 1-4</t>
  </si>
  <si>
    <t>диам.4,3мм, 0,5-1,5мм²</t>
  </si>
  <si>
    <t>SV 2-4</t>
  </si>
  <si>
    <t>диам.4,3мм, 1,5-2,5мм²</t>
  </si>
  <si>
    <t>SV 2-5</t>
  </si>
  <si>
    <t>диам.5,3мм, 1,5-2,5мм²</t>
  </si>
  <si>
    <t>SV 2-6</t>
  </si>
  <si>
    <t>диам.6,5мм, 1,5-2,5мм²</t>
  </si>
  <si>
    <t>КОННЕКТОРЫ И РАЗЪЕМЫ</t>
  </si>
  <si>
    <t>Разъемы "мама" в изоляции vinyl, 100 шт.</t>
  </si>
  <si>
    <t>FDV 1-110(8)</t>
  </si>
  <si>
    <t>Входной размер 2,8 х0,8мм.0,5-1,5мм², красная изоляция</t>
  </si>
  <si>
    <t>FDV 1-187(8)</t>
  </si>
  <si>
    <t>Входной размер 4,75х0,8мм. 0,5-1,5мм², красная изоляция</t>
  </si>
  <si>
    <t>FDV 1-250</t>
  </si>
  <si>
    <t>Входной размер 6,4х0,8мм. 0,5-1,5мм², красная изоляция</t>
  </si>
  <si>
    <t>FDV 2-110</t>
  </si>
  <si>
    <t>Входной размер 2,8х0,8мм. 1,5-2,5мм²,  синяя изоляция</t>
  </si>
  <si>
    <t>FDV 2-187(8)</t>
  </si>
  <si>
    <t>Входной размер 4,75х0,8мм. 1,5-2,5мм², синяя изоляция</t>
  </si>
  <si>
    <t>FDV 2-250</t>
  </si>
  <si>
    <t>Входной размер 6,4х0,8мм. 1,5-2,5мм², синяя изоляция</t>
  </si>
  <si>
    <t>FDV 5-250</t>
  </si>
  <si>
    <t>Входной размер 6,4х0,8мм. 4-6мм², желтая изоляция</t>
  </si>
  <si>
    <t>Разъемы  "папа" в изоляции vinyl, 100 шт.</t>
  </si>
  <si>
    <t>MDV 1-110(8)</t>
  </si>
  <si>
    <t>Разъем плоский, входной размер 2,8х0,8; 0,5-1,5мм²; красная изоляция</t>
  </si>
  <si>
    <t>MDV 1-187(8)</t>
  </si>
  <si>
    <t>Разъем плоский, входной размер 4,75х0,8; 0,5-1,5мм²; красная изоляция</t>
  </si>
  <si>
    <t>MDV 1-250</t>
  </si>
  <si>
    <t>Разъем плоский, входной размер 6,4х0,8; 0,5-1,5мм²; красная изоляция</t>
  </si>
  <si>
    <t>MDV 2-110(8)</t>
  </si>
  <si>
    <t>Разъем плоский, входной размер 2,8х0,8; 1,5-2,5мм²; синяя изоляция</t>
  </si>
  <si>
    <t>MDV 2-187(8)</t>
  </si>
  <si>
    <t>Разъем плоский, входной размер 4,8х0,8; 1,5-2,5мм3; синяя изоляция</t>
  </si>
  <si>
    <t>MDV 2-250</t>
  </si>
  <si>
    <t>Разъем плоский, входной размер 6,4х0,8; 1,5-2,5мм²; синяя изоляция</t>
  </si>
  <si>
    <t>MDV 5-250</t>
  </si>
  <si>
    <t>Разъем плоский, "папа",  входной размер 6,4х0,8; 4-6мм²; желтая изоляция</t>
  </si>
  <si>
    <t>Разъемы "мама/папа" в изоляции vinyl, 100 шт.</t>
  </si>
  <si>
    <t>FDMV 1-250</t>
  </si>
  <si>
    <t>Разъем ответвительный, изоляция Vnil, 0,8х6,4; 0,5-1,5мм², красный</t>
  </si>
  <si>
    <t>FDMV 2-250</t>
  </si>
  <si>
    <t>Разъем ответвительный, изоляция Vnil, 0,8х6,4; 1,5-2,5мм², синий</t>
  </si>
  <si>
    <t>FDMV 5-250</t>
  </si>
  <si>
    <t>Разъем ответвительный, изоляция Vnil, 0,8х6,4; 4,0-6,0мм², желтый</t>
  </si>
  <si>
    <t>Разъемы "мама" полностью изолированные в изоляции nylon, 100 шт.</t>
  </si>
  <si>
    <t>FDFN 1-250</t>
  </si>
  <si>
    <t>Разъем плоский, изоляция Nylon, 0,8х6,4;  0,5-1,5мм², красный</t>
  </si>
  <si>
    <t>FDFN 2-250</t>
  </si>
  <si>
    <t>Разъем плоский, изоляция Nylon, 0,8х6,4; 1,5-2,5мм²; синий</t>
  </si>
  <si>
    <t>FDFN 5-250</t>
  </si>
  <si>
    <t>Разъем плоский, изоляция Nylon, 0,8х6,4; 4-6мм²; желтый</t>
  </si>
  <si>
    <t>Разъемы "папа" полностью изолированные в изоляции nylon, 100 шт.</t>
  </si>
  <si>
    <t>90673</t>
  </si>
  <si>
    <t>Разъем плоский "папа", 0,32*270,  0,8*6,4, 24А,  4-6мм²</t>
  </si>
  <si>
    <t>Разъемы "мама" полностью изолированные в изоляции vinyl, 100 шт.</t>
  </si>
  <si>
    <t>FDFV 1-250</t>
  </si>
  <si>
    <t>Разъем плоский, изоляция Vinil, 0,8х6,4; 0,5-1,5мм², красный</t>
  </si>
  <si>
    <t>FDFV 2-250</t>
  </si>
  <si>
    <t>Разъем плоский, изоляция Vinil, 0,8х6,4; 1,5-2,5мм², синий</t>
  </si>
  <si>
    <t>FDFV 5-250</t>
  </si>
  <si>
    <t>Разъем плоский, изоляция Vinil, 0,8х6,4;  4-6мм², желтый</t>
  </si>
  <si>
    <t>Разъемы "мама" пулевого типа полностью изолированные в изоляции vinyl , 100 шт.</t>
  </si>
  <si>
    <t>FRV 1-156</t>
  </si>
  <si>
    <t>Входной размер 4мм. Сечение провода 0,5-1,5 , 10А</t>
  </si>
  <si>
    <t>FRV 2-156</t>
  </si>
  <si>
    <t xml:space="preserve">Входной размер 4мм. Сечечение провода 1,5-2,5; 15А </t>
  </si>
  <si>
    <t>FRV 2-187</t>
  </si>
  <si>
    <t xml:space="preserve">Входной размер 4,8мм. Сечечение провода 1,5-2,5; 15А </t>
  </si>
  <si>
    <t>Разъемы "папа" пулевого типа в изоляции vinyl, 100 шт.</t>
  </si>
  <si>
    <t>MPV 1-156</t>
  </si>
  <si>
    <t>MPV 2-156</t>
  </si>
  <si>
    <t>MPV 2-187</t>
  </si>
  <si>
    <t>Пластиковые наконечники для скрутки проводов,100шт.</t>
  </si>
  <si>
    <t>SK-1</t>
  </si>
  <si>
    <t>Пластиковый наконечник для скрутки проводов с резьбой</t>
  </si>
  <si>
    <t>SK-2</t>
  </si>
  <si>
    <t>SK-3</t>
  </si>
  <si>
    <t>SK-4</t>
  </si>
  <si>
    <t>Коннекторы гильотинного типа, латунь в  изоляции PP, с гидрофобным наполнением (50 шт в уп)</t>
  </si>
  <si>
    <t>CETV 2</t>
  </si>
  <si>
    <t>Синий. 20*8*25, сеч. провода 0,5-1,5мм.</t>
  </si>
  <si>
    <t>Коннекторы гильотинного типа, латунь в  изоляции PP, 100шт.</t>
  </si>
  <si>
    <t>Красный. 20*8*25, сеч. провода 0,5-1,5мм.</t>
  </si>
  <si>
    <t>Голубой. 20*8*25, сеч. провода 1,5-2,5мм.</t>
  </si>
  <si>
    <t>Желтый, сечение провода 4-6мм.</t>
  </si>
  <si>
    <t>Коннекторы трубчатого типа в изоляции vinyl, 100шт.</t>
  </si>
  <si>
    <t>BVS 1</t>
  </si>
  <si>
    <t>Красный, d=1,7, D=4,1,  10А   0,5-1,5мм²</t>
  </si>
  <si>
    <t>BVS 2</t>
  </si>
  <si>
    <t>Синий, d=2,3, D=4,5 , 15А;  1,5-2,5мм²</t>
  </si>
  <si>
    <t>BVS 5</t>
  </si>
  <si>
    <t>Желтый, d=3,4 D=6,5 , 24А; 4-6мм²</t>
  </si>
  <si>
    <t>Коннекторы трубчатого типа в изоляции nylon, 100шт.</t>
  </si>
  <si>
    <t>BNY 1</t>
  </si>
  <si>
    <t>Красный, d=1,7; D=4,1; 0,5-1,5мм² ; 19А</t>
  </si>
  <si>
    <t>BNY 2</t>
  </si>
  <si>
    <t>Синий, d=2,3; D=4,5; 1,5-2,5мм²; 27А</t>
  </si>
  <si>
    <t>BNY 5</t>
  </si>
  <si>
    <t>Желтый, d=3,4; D=6,5; 4-6мм²; 48А</t>
  </si>
  <si>
    <t>Коннекторы трубчатого типа в термоусадочной изоляции материал HDPE, водостойкие, 100шт.</t>
  </si>
  <si>
    <t>BNT 1/2</t>
  </si>
  <si>
    <t>Прозрачный, d=0,8; D=2,0; 0,1-0,5мм²; 19А</t>
  </si>
  <si>
    <t>BNT 1</t>
  </si>
  <si>
    <t>Красный, d=1,7; D=4,1; 0,5-1,5мм²; 19А</t>
  </si>
  <si>
    <t>BNT 2</t>
  </si>
  <si>
    <t>Синий, d=2,3; D=4,5;  1,5-2,5мм², 27А</t>
  </si>
  <si>
    <t>BNT 5</t>
  </si>
  <si>
    <t>Коннекторы трубчатого типа в термоусадочной изоляции материал Nylon, водостойкие, 100шт.</t>
  </si>
  <si>
    <t>BNYT 1/2</t>
  </si>
  <si>
    <t>скоро в наличии</t>
  </si>
  <si>
    <t>BNYT 1</t>
  </si>
  <si>
    <t>BNYT 2</t>
  </si>
  <si>
    <t>BNYT 5</t>
  </si>
  <si>
    <t>Соединители встык без изоляции, латунь, 100шт.</t>
  </si>
  <si>
    <t>LRBs 1</t>
  </si>
  <si>
    <t>Соединитель встык луженый, для проводов 1,0-1,5 мм кв.  L=14,8мм, D=3,2мм</t>
  </si>
  <si>
    <t>LRBs 2</t>
  </si>
  <si>
    <t>Соединитель встык луженый, для проводов 2,0-2,5 мм кв., L=15,2мм, D=4,8мм</t>
  </si>
  <si>
    <t>Коннекторы без изоляции, "мамы" и "папы", латунь, 100шт.</t>
  </si>
  <si>
    <t>351 LR-0,8</t>
  </si>
  <si>
    <t>Цилиндр.коннектор "папа". Вх. размер 3,5мм, сечение провода 0,5-0,8мм²</t>
  </si>
  <si>
    <t>352 LR-0,8</t>
  </si>
  <si>
    <t>Цилиндр/ коннектор "мама". Вх. размер 3,5мм, стоппер, сечение провода 0,5-0,8мм²</t>
  </si>
  <si>
    <t>401 LR-0,8</t>
  </si>
  <si>
    <t>Цилиндр.коннектор "папа". Вх. размер 4,0мм,  сечение провода 0,5-0,8мм²</t>
  </si>
  <si>
    <t>402 LR-0,8</t>
  </si>
  <si>
    <t>Цилиндр.коннектор "мама". Вх. размер 4,0мм, стоппер,  сечение провода 0,5-0,8мм²</t>
  </si>
  <si>
    <t>501 LR-0,8</t>
  </si>
  <si>
    <t>Плоский коннектор "папа". Входной размер 6,3х0,8мм,  сечение провода 0,5-0,8мм²</t>
  </si>
  <si>
    <t>905 LR-0,8</t>
  </si>
  <si>
    <t>Плоский. коннектор "папа". Вх. размер 6,3х0,8мм, стоппер,  сечение провода 0,5-0,8мм²</t>
  </si>
  <si>
    <t>601 LR-0,8</t>
  </si>
  <si>
    <t>Плоский. коннектор "мама". Вх. размер 6,3х0,8мм, стоппер,  сечение провода 0,5-0,8мм²</t>
  </si>
  <si>
    <t>617 LR-0,8</t>
  </si>
  <si>
    <t>Плоский. коннектор "мама". Вх. размер 6,3мм, 2 прорези, сечение провода 0,5-0,8мм²</t>
  </si>
  <si>
    <t>501 LR-1,5</t>
  </si>
  <si>
    <t>Плоский коннектор "папа". Вх.размер 6,3мм,  сечение провода 1-1,5мм²</t>
  </si>
  <si>
    <t>601 LR-1,5</t>
  </si>
  <si>
    <t>Плоский. коннектор "мама". Вх. размер 6,3мм, стоппер,  сечение провода 1-1,5мм²</t>
  </si>
  <si>
    <t>607 LRs-1,5</t>
  </si>
  <si>
    <t>Плоский. коннектор "мама". Вх. размер 6,3мм, гладкий, луженый, сечение провода 1-1,5мм²</t>
  </si>
  <si>
    <t>617 LR-1,5</t>
  </si>
  <si>
    <t>Плоский. коннектор "мама". Вх. размер 6,3мм, 2 прорези, сечение провода 1-1,5мм²</t>
  </si>
  <si>
    <t>905 LR-1,5</t>
  </si>
  <si>
    <t>Плоский коннектор "папа". Вх. размер: 6,3х0,8мм, стоппер,  сечение провода 1-1,5мм²</t>
  </si>
  <si>
    <t>905 LR-2,5</t>
  </si>
  <si>
    <t>Плоский. коннектор "папа". Вх. размер 6,3х0,8мм, стоппер,  сечение провода 2-2,5мм²</t>
  </si>
  <si>
    <t>601 LR-2,5</t>
  </si>
  <si>
    <t>Плоский. коннектор "мама". Вх. размер 6,3мм, стоппер,  сечение провода 2-2,5мм²</t>
  </si>
  <si>
    <t>617 LR-2,5</t>
  </si>
  <si>
    <t>Плоский. коннектор "мама". Вх. размер 6,3мм, 2 прорези, сечение провода 2-2,5мм²</t>
  </si>
  <si>
    <t>601 LR-4,0</t>
  </si>
  <si>
    <t>Плоский. коннектор "мама". Вх. размер 6,3мм, стоппер,  сечение провода 2,5-4,0мм²</t>
  </si>
  <si>
    <t>603 LR-0,8</t>
  </si>
  <si>
    <t>Плоский. коннектор "мама". Вх. размер 4,8мм, стоппер,  сечение провода 0,5-0,8мм²</t>
  </si>
  <si>
    <t>604 LR-0,8</t>
  </si>
  <si>
    <t>Плоский коннектор "мама". Вх.размер 4,8мм, 2 прорези, сечение провода 0,5-0,8мм²</t>
  </si>
  <si>
    <t>604 LRs</t>
  </si>
  <si>
    <t>Плоский коннектор "мама". Вх.размер 4,8мм, 2 прорези, луженый, сечение провода 0,5-0,8мм²</t>
  </si>
  <si>
    <t>614 LR-0,8</t>
  </si>
  <si>
    <t>Плоский коннектор "мама". Вх.размер 4,8мм, гладкий, сечение провода 0,5-0,8мм²</t>
  </si>
  <si>
    <t>504 LR-1,5</t>
  </si>
  <si>
    <t>Плоский коннектор "папа". Вх.размер 4,8х0,8мм,  сечение провода 1-1,5мм²</t>
  </si>
  <si>
    <t>504 LRs</t>
  </si>
  <si>
    <t>Плоский коннектор "папа". Вх.размер 4,8х0,8мм, луженый, ,  сечение провода 1-1,5мм²</t>
  </si>
  <si>
    <t>904 LR-1,5</t>
  </si>
  <si>
    <t>Плоский. коннектор "папа". Вх. размер 4,8х0,8мм, стоппер,  сечение провода 1-1,5мм²</t>
  </si>
  <si>
    <t>906LR(5)-1,5</t>
  </si>
  <si>
    <t>Плоский. коннектор "папа". Вх. размер 2,8х0,5мм, желтый, стоппер,  сечение провода 1-1,5мм²</t>
  </si>
  <si>
    <t>906LRs(5)-1,5</t>
  </si>
  <si>
    <t>Плоский. коннектор "папа". Вх. размер 2,8х0,5мм, луженый, стоппер,  сечение провода 1-1,5мм131</t>
  </si>
  <si>
    <t>906 LRs</t>
  </si>
  <si>
    <t>Плоский коннектор "папа". Вх.размер: 2,8х0,8мм, стоппер, луженый,  сечение провода 1-1,5мм²</t>
  </si>
  <si>
    <t>605 LR-0,8</t>
  </si>
  <si>
    <t>Плоский коннектор "мама". Входной размер 2,8х0,5мм, 2 прорези, сечение провода 0,5-0,8мм²</t>
  </si>
  <si>
    <t>605 LRs</t>
  </si>
  <si>
    <t>Плоский коннектор "мама". Вх.размер 2,8х0,5мм, 2 прорези, луженый, сечение провода 0,5-0,8мм²</t>
  </si>
  <si>
    <t>606 LR-0,8</t>
  </si>
  <si>
    <t>Плоский  коннектор "мама". Вх.размер 2,8х0,5мм, стоппер, сечение провода 0,5-0,8мм²</t>
  </si>
  <si>
    <t>606 LRs</t>
  </si>
  <si>
    <t>Плоский  коннектор "мама". Вх.размер 2,8х0,5мм, стоппер, луженый,  сечение провода 0,5-0,8мм²</t>
  </si>
  <si>
    <t>Изоляционные насадки ПВХ на коннекторы без изоляции серии LR, 100 шт.</t>
  </si>
  <si>
    <t>1501PVC</t>
  </si>
  <si>
    <t>изоляция для цилиндр.коннектора "мама". Вх. размер 4,0мм</t>
  </si>
  <si>
    <t>1502PVC</t>
  </si>
  <si>
    <t>изоляция для цилиндр.коннектора "папа". Вх. размер 4,0мм</t>
  </si>
  <si>
    <t>1505PVC</t>
  </si>
  <si>
    <t>изоляция для плоского коннектора "мама". Вх. размер 6,3мм</t>
  </si>
  <si>
    <t>1506PVC</t>
  </si>
  <si>
    <t>изоляция для плоского коннектора "мама". Вх. размер 4,8мм</t>
  </si>
  <si>
    <t>1508PVC</t>
  </si>
  <si>
    <t>изоляция для плоского коннектора "мама". Вх. размер 2,8мм</t>
  </si>
  <si>
    <t>Коннекторы с проводами</t>
  </si>
  <si>
    <t>Универсальные коннекторы типа 250, мама,папа, шт</t>
  </si>
  <si>
    <t>UH-2P-F, 250 мама</t>
  </si>
  <si>
    <t>2 Pin, мама (цена за 1 шт)</t>
  </si>
  <si>
    <t>UH-2P-M, 250 папа</t>
  </si>
  <si>
    <t>2 Pin, папа (цена за 1 шт)</t>
  </si>
  <si>
    <t>UH-3P-F, 250 мама</t>
  </si>
  <si>
    <t>3 Pin, мама (цена за 1 шт)</t>
  </si>
  <si>
    <t>UH-3P-M, 250 папа</t>
  </si>
  <si>
    <t>3 Pin, папа (цена за 1 шт)</t>
  </si>
  <si>
    <t>Влагозащищенные коннекторы, папа, мама, шт</t>
  </si>
  <si>
    <t>WH-2P-F мама</t>
  </si>
  <si>
    <t>WH-2P-M папа</t>
  </si>
  <si>
    <t>WH-4P-F мама</t>
  </si>
  <si>
    <t>4 Pin, мама (цена за 1 шт)</t>
  </si>
  <si>
    <t>WH-4P-M папа</t>
  </si>
  <si>
    <t>4 Pin, папа (цена за 1 шт)</t>
  </si>
  <si>
    <t>WH-6P-F мама</t>
  </si>
  <si>
    <t>6 Pin, мама (цена за шт)</t>
  </si>
  <si>
    <t>WH-6P-M папа</t>
  </si>
  <si>
    <t>6 Pin, папа (цена за 1 шт)</t>
  </si>
  <si>
    <t>Комплекты влагозащищенных коннекторов, "папа+мама" для самостоятельной сборки на провода, уп.</t>
  </si>
  <si>
    <t>WH-2P-KIT</t>
  </si>
  <si>
    <t>2 Pin, "мама+папа" (комплект: клеммы, колодки, уплотнители), 10 шт в уп</t>
  </si>
  <si>
    <t>WH-4P-KIT</t>
  </si>
  <si>
    <t>4 Pin, "мама+папа" (комплект: клеммы, колодки, уплотнители), 10 шт в уп</t>
  </si>
  <si>
    <t>WH-6P-KIT</t>
  </si>
  <si>
    <t>6 Pin, "мама+папа" (комплект: клеммы, колодки, уплотнители), 10 шт в уп</t>
  </si>
  <si>
    <t>Контейнеры для хранения клемм:</t>
  </si>
  <si>
    <t>SBOX</t>
  </si>
  <si>
    <t>Пластиковый контейнер с подвесом, 140х100х33мм</t>
  </si>
  <si>
    <t>ХОМУТЫ - СТЯЖКИ</t>
  </si>
  <si>
    <t>Ленточные винтовые, червячного типа, сталь, диапазон температур -60С - +120С, упаковка 10шт.</t>
  </si>
  <si>
    <t>CHK-9 130-150</t>
  </si>
  <si>
    <t>Dмин 130мм, Dмакс 150мм, ширина 9мм, головка: паз крест/прямой /шести-граннник 7мм</t>
  </si>
  <si>
    <t>Стандартные, нейлон, устойчивы к истиранию, диапазон температур -35°С - +85°С , цвет черный, упаковка 100шт.</t>
  </si>
  <si>
    <t>K-100M</t>
  </si>
  <si>
    <t>100мм*2,5мм, черные</t>
  </si>
  <si>
    <t>K-100M /Italy</t>
  </si>
  <si>
    <t>Cobra</t>
  </si>
  <si>
    <t>K-140M /Italy</t>
  </si>
  <si>
    <t>140мм*2,5мм, черные</t>
  </si>
  <si>
    <t>K-140I /Italy</t>
  </si>
  <si>
    <t>140мм*3,6мм, черные</t>
  </si>
  <si>
    <t>K-150M</t>
  </si>
  <si>
    <t>150мм*2,5мм, черные</t>
  </si>
  <si>
    <t>K-150I</t>
  </si>
  <si>
    <t>150мм*3,6мм, черные</t>
  </si>
  <si>
    <t>K-160M/Italy</t>
  </si>
  <si>
    <t>160мм*2,5мм, черные</t>
  </si>
  <si>
    <t>K-200M</t>
  </si>
  <si>
    <t>200мм*2,5мм, черные</t>
  </si>
  <si>
    <t>K-200M /Italy</t>
  </si>
  <si>
    <t>K-200I</t>
  </si>
  <si>
    <t>200мм*3,6мм, черные</t>
  </si>
  <si>
    <t>K-200S</t>
  </si>
  <si>
    <t>200мм*4,8мм, черные</t>
  </si>
  <si>
    <t>K-250I</t>
  </si>
  <si>
    <t>250мм*3,6мм, черные</t>
  </si>
  <si>
    <t>K-250S /Italy</t>
  </si>
  <si>
    <t>250мм*4,8мм, черные</t>
  </si>
  <si>
    <t>K-290I /Italy</t>
  </si>
  <si>
    <t>290мм*3,6мм, черные</t>
  </si>
  <si>
    <t>K-290S /Italy</t>
  </si>
  <si>
    <t>290мм*4,8мм, черные</t>
  </si>
  <si>
    <t>K-290H /Italy</t>
  </si>
  <si>
    <t>290мм*7,6мм, черные</t>
  </si>
  <si>
    <t>K-300I</t>
  </si>
  <si>
    <t>300мм*3,6мм, черные</t>
  </si>
  <si>
    <t>K-300I Silver</t>
  </si>
  <si>
    <t>300мм*3,6мм, серебристые</t>
  </si>
  <si>
    <t>K-300H</t>
  </si>
  <si>
    <t>300мм*7,6мм, черные</t>
  </si>
  <si>
    <t>K-360I /Italy</t>
  </si>
  <si>
    <t>360мм*3,6мм, черные</t>
  </si>
  <si>
    <t>K-360S /Italy</t>
  </si>
  <si>
    <t>360мм*4,8мм, черные</t>
  </si>
  <si>
    <t>K-360H /Italy</t>
  </si>
  <si>
    <t>360мм*7,6мм, черные</t>
  </si>
  <si>
    <t>K-370I</t>
  </si>
  <si>
    <t>370мм*3,6мм, черные</t>
  </si>
  <si>
    <t>K-370S</t>
  </si>
  <si>
    <t>370мм*4,8мм, черные</t>
  </si>
  <si>
    <t>K-500S</t>
  </si>
  <si>
    <t>500мм*4,8мм, черные</t>
  </si>
  <si>
    <t>K-500H</t>
  </si>
  <si>
    <t>500мм*7,6мм, черные</t>
  </si>
  <si>
    <t>K-530S /Italy</t>
  </si>
  <si>
    <t>530мм*4,8мм, черные</t>
  </si>
  <si>
    <t>Стандартные, нейлон, устойчивы к истиранию, диапазон температур -35°С - +85°С , цвет белый, упаковка 100шт.</t>
  </si>
  <si>
    <t>K-100M Natural</t>
  </si>
  <si>
    <t>100мм*2,5мм, белые</t>
  </si>
  <si>
    <t>K-100M /Italy Natural</t>
  </si>
  <si>
    <t>K-140M /Italy Natural</t>
  </si>
  <si>
    <t>140мм*2,5мм, белые</t>
  </si>
  <si>
    <t>K-140I /Italy Natural</t>
  </si>
  <si>
    <t>140мм*3,6мм, белые</t>
  </si>
  <si>
    <t>K-160M/Italy Natural</t>
  </si>
  <si>
    <t>160мм*2,5мм, белые</t>
  </si>
  <si>
    <t>K-200M /Italy Natural</t>
  </si>
  <si>
    <t>200мм*2,5мм, белые</t>
  </si>
  <si>
    <t>K-200M /Natural</t>
  </si>
  <si>
    <t>K-200I Natural</t>
  </si>
  <si>
    <t>200мм*3,6мм, белые</t>
  </si>
  <si>
    <t>K-200S Natural</t>
  </si>
  <si>
    <t>200мм*4,8мм, белые</t>
  </si>
  <si>
    <t>K-250I Natural</t>
  </si>
  <si>
    <t>250мм*3,6мм, белые</t>
  </si>
  <si>
    <t>K-250S Italy Natural</t>
  </si>
  <si>
    <t>250мм*4,8мм, белые</t>
  </si>
  <si>
    <t>K-280S Natural</t>
  </si>
  <si>
    <t>280мм*4,8мм, белые</t>
  </si>
  <si>
    <t>K-290I /Italy Natural</t>
  </si>
  <si>
    <t>290мм*3,6мм, белые</t>
  </si>
  <si>
    <t>K-290S /Italy Natural</t>
  </si>
  <si>
    <t>290мм*4,8мм, белые</t>
  </si>
  <si>
    <t>K-290H /Italy Natural</t>
  </si>
  <si>
    <t>290мм*7,6мм, белые</t>
  </si>
  <si>
    <t>K-300I Natural</t>
  </si>
  <si>
    <t>300мм*3,6мм, белые</t>
  </si>
  <si>
    <t>K-360I /Italy Natural</t>
  </si>
  <si>
    <t>360мм*3,6мм, белые</t>
  </si>
  <si>
    <t>K-360S /Italy Natural</t>
  </si>
  <si>
    <t>360мм*4,8мм, белые</t>
  </si>
  <si>
    <t>K-360H /Italy Natural</t>
  </si>
  <si>
    <t>360мм*7,6мм, белые</t>
  </si>
  <si>
    <t>K-370I Natural</t>
  </si>
  <si>
    <t>370мм*3,6мм, белые</t>
  </si>
  <si>
    <t>K-370S Natural</t>
  </si>
  <si>
    <t>370мм*4,8мм, белые</t>
  </si>
  <si>
    <t>K-530S /Italy Natural</t>
  </si>
  <si>
    <t>530мм*4,8мм, белые</t>
  </si>
  <si>
    <t>Для наружного применения, нейлон, устойчивые к УФ, устойчивы к истиранию, диапазон температур -40°С- +85°С , цвет зеленый, упаковка 100шт.</t>
  </si>
  <si>
    <t>K-200S /Italy UV green</t>
  </si>
  <si>
    <t>200мм*4,8мм, зеленые</t>
  </si>
  <si>
    <t>С отверстием под саморез, нейлон, устойчивы к истиранию, диапазон температур -40°С- +85°С , цвет черный и белый, упаковка 100шт.</t>
  </si>
  <si>
    <t>ZK-100M</t>
  </si>
  <si>
    <t>ZK-100M Natural</t>
  </si>
  <si>
    <t>ZK-150I</t>
  </si>
  <si>
    <t xml:space="preserve">ZK-170I </t>
  </si>
  <si>
    <t>170мм*3,6мм, черные</t>
  </si>
  <si>
    <t>ZK-170I Natural</t>
  </si>
  <si>
    <t>170мм*3,6мм, белые</t>
  </si>
  <si>
    <t>ZK-200S</t>
  </si>
  <si>
    <t>С дюбелем, нейлон, устойчивы к истиранию, диапазон температур -40°С - +85°С , цвет черный, упаковка 100шт.</t>
  </si>
  <si>
    <t>DK-155I</t>
  </si>
  <si>
    <t>155мм*3,6мм</t>
  </si>
  <si>
    <t>Стяжка для кабеля с двойным замком (для создания 2х параллельных жгутов или подвязки к стационарным объектам), упаковка 100шт.:</t>
  </si>
  <si>
    <t xml:space="preserve">DHK-300S </t>
  </si>
  <si>
    <t>300мм*4,8мм, черные</t>
  </si>
  <si>
    <t>DHK-300S Natural</t>
  </si>
  <si>
    <t>300мм*4,8мм, белые</t>
  </si>
  <si>
    <t>Противоскользящие, нейлон, -40°С - +85°С, цвет в ассортименте, упаковка 6шт.</t>
  </si>
  <si>
    <t>TK-912 Green</t>
  </si>
  <si>
    <t>912мм*9мм, неоновый зеленый</t>
  </si>
  <si>
    <t>TK-912 Yellow</t>
  </si>
  <si>
    <t>912мм*9мм, неоновый желтый</t>
  </si>
  <si>
    <t>Стяжка для кабеля VELCRO</t>
  </si>
  <si>
    <t>VK-150V</t>
  </si>
  <si>
    <t>150мм*10мм, черные, упаковка 20шт.</t>
  </si>
  <si>
    <t>VK-1510 черн.</t>
  </si>
  <si>
    <t>рулон 15мм*10м, цвет - черный</t>
  </si>
  <si>
    <t>VK-1510 красн.</t>
  </si>
  <si>
    <t>рулон 15мм*10м, цвет - красный</t>
  </si>
  <si>
    <t xml:space="preserve">Держатели стяжек, крепеж на 2-сторонний скотч/саморез, упаковка 100шт.: </t>
  </si>
  <si>
    <t>KT-401 черн.</t>
  </si>
  <si>
    <t>L=19мм, W=19мм, H=3,9мм., цвет: черный</t>
  </si>
  <si>
    <t>KT-401 бел.</t>
  </si>
  <si>
    <t xml:space="preserve">L=19мм, W=19мм, H=3,9мм., цвет: белый  </t>
  </si>
  <si>
    <t>Инструмент для автоматической обвязки</t>
  </si>
  <si>
    <t>LY-07CT</t>
  </si>
  <si>
    <t>инструмент для обвязки стяжек</t>
  </si>
  <si>
    <t>ТРУБКИ ТЕРМОУСАДОЧНЫЕ</t>
  </si>
  <si>
    <t>Трубки термоусадочные, коэффициент усадки 2:1</t>
  </si>
  <si>
    <t>SAA-BNT 1/2  (20шт)</t>
  </si>
  <si>
    <t>Прозрачный. D до усадки (min)=3,2мм, D после усадки (max)= 1,0мм.  Длина = 35 мм, 20 шт в уп.</t>
  </si>
  <si>
    <t>SAA-BNT 1  (20шт)</t>
  </si>
  <si>
    <t>Красный. D до усадки (min)= 4,8мм, D после усадки (max)= 1,5мм.  Длина= 35мм, 20 шт в уп.</t>
  </si>
  <si>
    <t>SAA-BNT 2  (20шт)</t>
  </si>
  <si>
    <t>Синий. D до усадки (min)= 5,8мм, D после усадки (max)= 1,8мм.  Длина= 35 мм, 20 шт в уп.</t>
  </si>
  <si>
    <t>SAA-BNT 5  (20шт)</t>
  </si>
  <si>
    <t>Красный. D до усадки (min)= 6,8мм, D после усадки (max)= 2,2мм.  Длина= 40 мм, 20 шт в уп.</t>
  </si>
  <si>
    <t>SA-2,5</t>
  </si>
  <si>
    <t>Черный. D до усадки (min)=2,5мм, D после усадки (max)= 1,25мм.  200м</t>
  </si>
  <si>
    <t>SA-2,5 (10м)</t>
  </si>
  <si>
    <t>Черный. D до усадки (min)=2,5мм, D после усадки (max)= 1,25мм.  10м</t>
  </si>
  <si>
    <t>SA-4</t>
  </si>
  <si>
    <t>Черный. D до усадки (min)=4мм, D после усадки (max)= 2мм.  200м</t>
  </si>
  <si>
    <t>SA-4 (10м)</t>
  </si>
  <si>
    <t>Черный. D до усадки (min)=4мм, D после усадки (max)= 2мм.  10м</t>
  </si>
  <si>
    <t>SA-4 Yellow</t>
  </si>
  <si>
    <t>Желтый. D до усадки (min)=4мм, D после усадки (max)= 2мм.  200м</t>
  </si>
  <si>
    <t>SA-4 Yellow (10м)</t>
  </si>
  <si>
    <t>Желтый.  D до усадки (min)=4мм, D после усадки (max)= 2мм.  10м</t>
  </si>
  <si>
    <t>SA-4 Red</t>
  </si>
  <si>
    <t>Красный. D до усадки (min)=4мм, D после усадки (max)= 2мм.  200м</t>
  </si>
  <si>
    <t>SA-4 Red (10м)</t>
  </si>
  <si>
    <t>Красный. D до усадки (min)=4мм, D после усадки (max)= 2мм.  10м</t>
  </si>
  <si>
    <t>SA-4 Clear</t>
  </si>
  <si>
    <t>Прозрачный. D до усадки (min)=4мм, D после усадки (max)= 2мм.  200м</t>
  </si>
  <si>
    <t>SA-6</t>
  </si>
  <si>
    <t>Черный. D до усадки (min)=6мм, D после усадки (max)= 3мм.  100м</t>
  </si>
  <si>
    <t>SA-6 (10м)</t>
  </si>
  <si>
    <t>Черный. D до усадки (min)=6мм, D после усадки (max)= 3мм.  10м</t>
  </si>
  <si>
    <t>SA-8</t>
  </si>
  <si>
    <t>Черный. D до усадки (min)=8мм, D после усадки (max)= 4мм.  100м</t>
  </si>
  <si>
    <t>SA-8 (10м)</t>
  </si>
  <si>
    <t>Черный. D до усадки (min)=8мм, D после усадки (max)= 4мм.  10м</t>
  </si>
  <si>
    <t>SA-10</t>
  </si>
  <si>
    <t>Черный. D до усадки (min)=10мм, D после усадки (max)= 5мм.  100м</t>
  </si>
  <si>
    <t>SA-10 (10м)</t>
  </si>
  <si>
    <t>Черный. D до усадки (min)=10мм, D после усадки (max)= 5мм.  10м</t>
  </si>
  <si>
    <t>SA-14 White (100м)</t>
  </si>
  <si>
    <t>Белый. D до усадки (min)=14мм, D после усадки (max)= 7мм.  100м</t>
  </si>
  <si>
    <t>SA-14NF White (100м)</t>
  </si>
  <si>
    <t>Белый.Негорючее исполнение D до усадки (min)=14мм, D после усадки (max)= 7мм.  100м</t>
  </si>
  <si>
    <t>SA-20</t>
  </si>
  <si>
    <t>Черный. D до усадки (min)=20мм, D после усадки (max)= 10мм.  100м</t>
  </si>
  <si>
    <t>SA-20 (10м)</t>
  </si>
  <si>
    <t>Черный. D до усадки (min)=20мм, D после усадки (max)= 10мм.  10м</t>
  </si>
  <si>
    <t>SA-20 Red</t>
  </si>
  <si>
    <t>Красный. D до усадки (min)=20мм, D после усадки (max)= 10мм.  100м</t>
  </si>
  <si>
    <t>SA-20 Red (10м)</t>
  </si>
  <si>
    <t>Красный. D до усадки (min)=20мм, D после усадки (max)= 10мм.  10м</t>
  </si>
  <si>
    <t>SA-30</t>
  </si>
  <si>
    <t>Черный. D до усадки (min)=30мм, D после усадки (max)= 15мм.  50м</t>
  </si>
  <si>
    <t>SA-30 (10м)</t>
  </si>
  <si>
    <t>Черный. D до усадки (min)=30мм, D после усадки (max)= 15мм.  10м</t>
  </si>
  <si>
    <t>SA-100 (20м)</t>
  </si>
  <si>
    <t>Черный. D до усадки (min)=100мм, D после усадки (max)= 50мм.  20м</t>
  </si>
  <si>
    <t>SA-150 (25м)</t>
  </si>
  <si>
    <t>Черный. D до усадки (min)=150мм, D после усадки (max)= 75мм.  25м</t>
  </si>
  <si>
    <t>SA-KIT 1-9/10-Color</t>
  </si>
  <si>
    <t>Набор термоусадочных трубок 1мм-9мм(нарезка 10см), 170шт:Ø1x100mm x 60шт;Ø2x100mm x 40шт;Ø3x100mm x 30шт;Ø4.5x100mm x 20шт;Ø6x100mm x 10шт;Ø9 x100mm x 10шт; цвета: черный, красный, синий, прозр., белый, желтый</t>
  </si>
  <si>
    <t>SA-KIT 1-9/10</t>
  </si>
  <si>
    <t>Набор термоусадочных трубок 1мм-9мм(нарезка 10см), 170шт:Ø1x100mm x 60шт;Ø2x100mm x 40шт;Ø3x100mm x 30шт;Ø4.5x100mm x 20шт;Ø6x100mm x 10шт;Ø9 x100mm x 10шт; цвет: черный</t>
  </si>
  <si>
    <t>Трубки термоусадочные, коэффициент усадки 2:1, с клеевым слоем</t>
  </si>
  <si>
    <t>SAA-KIT 2,4-12,7/10-Color</t>
  </si>
  <si>
    <t>Набор термоусадочных трубок, диаметр:2.4мм-12.7мм (нарезка 10см). В наборе 85шт: Ø2.4×100mm×30; Ø3.2×100mm×20; Ø4.8×100mm×15; Ø6.4×100mm×10; Ø9.5×100mm×5; Ø12.7×100mm×5 цвета: красный, синий, зеленый, прозр., черный цвета:черный, красный, синий, прозрачный, белый, желтый; с клеевым слоем</t>
  </si>
  <si>
    <t>Трубки термоусадочные, коэффициент усадки 3:1, с клеевым слоем</t>
  </si>
  <si>
    <t>SAA-3/1 (1,22м)</t>
  </si>
  <si>
    <t>Черный. D до усадки (min)=3,2  мм, D после усадки (max)=1,6   мм; с клеевым слоем; 1,22м</t>
  </si>
  <si>
    <t>SAA-3/1 (12,2м)</t>
  </si>
  <si>
    <t>Черный. D до усадки (min)=3,2  мм, D после усадки (max)=1,6   мм; с клеевым слоем; 1,22м * 10шт</t>
  </si>
  <si>
    <t>SAA-3/1</t>
  </si>
  <si>
    <t>Черный. D до усадки (min)=3,2  мм, D после усадки (max)=1,6   мм; с клеевым слоем; 200м</t>
  </si>
  <si>
    <t>SAA-4/1,6 (1,22м)</t>
  </si>
  <si>
    <t>Черный. D до усадки (min)=4,7мм, D после усадки (max)= 1,6мм; с клеевым слоем; 1,22м</t>
  </si>
  <si>
    <t>SAA-4/1,6 (12,2м)</t>
  </si>
  <si>
    <t>Черный. D до усадки (min)=4,7мм, D после усадки (max)= 1,6мм; с клеевым слоем; 1,22м * 10шт</t>
  </si>
  <si>
    <t>SAA-4/1,6</t>
  </si>
  <si>
    <t>Черный. D до усадки (min)=4,7мм, D после усадки (max)= 1,6мм; с клеевым слоем; 100м</t>
  </si>
  <si>
    <t>SAA-6/2 (1,22м)</t>
  </si>
  <si>
    <t>Черный. D до усадки (min)=6,4мм, D после усадки (max)= 2,1мм; с клеевым слоем; 1,22м</t>
  </si>
  <si>
    <t>SAA-6/2 (12,2м)</t>
  </si>
  <si>
    <t>Черный. D до усадки (min)=6,4мм, D после усадки (max)= 2,1мм; с клеевым слоем; 1,22м * 10 шт</t>
  </si>
  <si>
    <t>SAA-6/2</t>
  </si>
  <si>
    <t>Черный. D до усадки (min)=6,4мм, D после усадки (max)= 2,1мм; с клеевым слоем; 100м</t>
  </si>
  <si>
    <t>SAA-6/2 clear</t>
  </si>
  <si>
    <t>Прозрачный. D до усадки (min)=6,4мм, D после усадки (max)= 2,1мм; с клеевым слоем; 100м</t>
  </si>
  <si>
    <t>SAA-8/2,6 (1,22м)</t>
  </si>
  <si>
    <t>Черный. D до усадки (min)= 7,9мм, D после усадки (max)= 2,6  мм; с клеевым слоем; 1,22м</t>
  </si>
  <si>
    <t>SAA-8/2,6 (12,2м)</t>
  </si>
  <si>
    <t>Черный. D до усадки (min)= 7,9мм, D после усадки (max)= 2,6  мм; с клеевым слоем; 1,22м * 10шт</t>
  </si>
  <si>
    <t>SAA-9/3 (1,22м)</t>
  </si>
  <si>
    <t>Черный. D до усадки (min)=9,5 мм, D после усадки (max)=3,2 мм; с клеевым слоем; 1,22м</t>
  </si>
  <si>
    <t>SAA-9/3 (12,2м)</t>
  </si>
  <si>
    <t>Черный. D до усадки (min)=9,5 мм, D после усадки (max)=3,2 мм; с клеевым слоем; 1,22м * 10 шт</t>
  </si>
  <si>
    <t>SAA-12/4 (1,22м)</t>
  </si>
  <si>
    <t>Черный. D до усадки (min)=12,7мм, D после усадки (max)= 4,23мм; с клеевым слоем; 1,22м</t>
  </si>
  <si>
    <t>SAA-12/4 (12,2м)</t>
  </si>
  <si>
    <t>Черный. D до усадки (min)=12,7мм, D после усадки (max)= 4,23мм; с клеевым слоем; 1,22м * 10 шт</t>
  </si>
  <si>
    <t>SAA-16/5,3 (1,22м)</t>
  </si>
  <si>
    <t>Черный. D до усадки (min)= 15,9мм, D после усадки (max)= 5,3мм; с клеевым слоем; 1,22м</t>
  </si>
  <si>
    <t>SAA-16/5,3 (12,2м)</t>
  </si>
  <si>
    <t>Черный. D до усадки (min)= 15,9мм, D после усадки (max)= 5,3мм; с клеевым слоем; 1,22м * 10 шт</t>
  </si>
  <si>
    <t>SAA-19/6,3 (1,22м)</t>
  </si>
  <si>
    <t>Черный. D до усадки (min)= 19,1мм, D после усадки (max)= 6,37мм; с клеевым слоем; 1,22м</t>
  </si>
  <si>
    <t>SAA-19/6,3 (12,2м)</t>
  </si>
  <si>
    <t>Черный. D до усадки (min)= 19,1мм, D после усадки (max)= 6,37мм; с клеевым слоем; 1,22м * 10 шт</t>
  </si>
  <si>
    <t>SAA-25/8,3 (1,22м)</t>
  </si>
  <si>
    <t>Черный. D до усадки (min)= 25,4мм, D после усадки (max)= 8,3мм; с клеевым слоем; 1,22м</t>
  </si>
  <si>
    <t>SAA-KIT 3,5-15/9.5</t>
  </si>
  <si>
    <t>Набор термоусадочных трубок, диаметр:3.5мм-15мм (нарезка 9,5см), В наборе 76 шт: Ø3.2mmx95mmx25шт;Ø4.8mmx95mmx20шт;Ø6.4mmx95mmx15шт;Ø7.9mmx95mmx8шт;Ø.5mmx95mmx5шт;Ø15mm-3шт, цвет: черный; с клеевым слоем</t>
  </si>
  <si>
    <t>Термоусадочные изоляторы с припоем, коэффициент усадки 3:1, с клеевым слоем, 20шт.</t>
  </si>
  <si>
    <t>SLD-1/2</t>
  </si>
  <si>
    <t>Прозрачный, D до усадки (min)= 1,7мм, D после усадки (max)= 0,6  мм; с клеевым слоем</t>
  </si>
  <si>
    <t>SLD-1</t>
  </si>
  <si>
    <t>Прозрачный, D до усадки (min)= 2,7мм, D после усадки (max)= 0,9  мм; с клеевым слоем</t>
  </si>
  <si>
    <t>SLD-2</t>
  </si>
  <si>
    <t>Прозрачный, D до усадки (min)= 4,5мм, D после усадки (max)= 1,5  мм; с клеевым слоем</t>
  </si>
  <si>
    <t>SLD-5</t>
  </si>
  <si>
    <t>Прозрачный, D до усадки (min)= 6,0мм, D после усадки (max)= 2,0  мм; с клеевым слоем</t>
  </si>
  <si>
    <t>ЛЕНТЫ ТЕРМОСТОЙКИЕ</t>
  </si>
  <si>
    <t>SST 3016 White</t>
  </si>
  <si>
    <t>термолента 30мм х 16м, белая</t>
  </si>
  <si>
    <t>SST 3016 Black</t>
  </si>
  <si>
    <t>термолента 30мм х 16м, черная</t>
  </si>
  <si>
    <t>SST CARBON 3016</t>
  </si>
  <si>
    <t>термолента CARBON 30мм х 16м</t>
  </si>
  <si>
    <t>ПЕРЕХОДНИКИ ДВЕРНЫЕ</t>
  </si>
  <si>
    <t>AQM 46</t>
  </si>
  <si>
    <t>Гофрированная трубка для проводки прямая, диам. 10мм</t>
  </si>
  <si>
    <t>AQM 46(S)(тонкая)</t>
  </si>
  <si>
    <t>Гофрированная трубка, S-образная, 10 мм.</t>
  </si>
  <si>
    <t>AQM 47(7)</t>
  </si>
  <si>
    <t>Прямая трубка, диам.7мм.</t>
  </si>
  <si>
    <t>AQM 47(9)</t>
  </si>
  <si>
    <t>Прямая трубка, диам.9мм.</t>
  </si>
  <si>
    <t>AQM 80S</t>
  </si>
  <si>
    <t>S-образная, диам.20мм. В штатное место передних дверей ВАЗ-2109</t>
  </si>
  <si>
    <t>AQM 89</t>
  </si>
  <si>
    <t>трубка гофрированная косая внутренний диаметр 20 мм  (в штатное место задних дверей ВАЗ-21099,2115)</t>
  </si>
  <si>
    <t>AQM 90</t>
  </si>
  <si>
    <t>Трубка гофрированная в штатные места передних и задних дверей на Lada Largus, РЕНО-Логан, Сандеро, Дастер, Ниссан-Террано (для некоторых моделей нужна дополнительная втулка AQM 91, для "Лада-Ларгус" втулка не требуется)</t>
  </si>
  <si>
    <t>AQM 91</t>
  </si>
  <si>
    <t>Площадка для AQM 90 (в штатные места передних и задних дверей на РЕНО-Логан и РЕНО-Сандеро)</t>
  </si>
  <si>
    <t>AQM 108</t>
  </si>
  <si>
    <t>Колпачок защитный для Лада-Гранта, Ниссан-Датсун</t>
  </si>
  <si>
    <t>AQM 109</t>
  </si>
  <si>
    <t>Чехол защитный для Лада-Гранта, Ниссан-Датсун</t>
  </si>
  <si>
    <t>AQM 110</t>
  </si>
  <si>
    <t>Втулка для совмещения AQM 108 и AQM 109, для Лада-Гранта, Ниссан-Датсун</t>
  </si>
  <si>
    <t>AQM 108/09/10</t>
  </si>
  <si>
    <t>Переходник для Лада Гранта в сборе(AQM 108+AQM 109+AQM 110)</t>
  </si>
  <si>
    <t>МОНТАЖНЫЙ ИНСТРУМЕНТ</t>
  </si>
  <si>
    <t>Пробники:</t>
  </si>
  <si>
    <t>LY AT 10</t>
  </si>
  <si>
    <t>пробник 6; 12; 24В</t>
  </si>
  <si>
    <t>Инструмент для снятия изоляции:</t>
  </si>
  <si>
    <t>LY-6261</t>
  </si>
  <si>
    <t>эргономичные ручки AWG 22-6</t>
  </si>
  <si>
    <t>Универсальный обжимной инструмент:</t>
  </si>
  <si>
    <t>LY-1305</t>
  </si>
  <si>
    <t>для изолированных Разъемов</t>
  </si>
  <si>
    <t>LY-6202</t>
  </si>
  <si>
    <t>AWG22-10 для клемм б/и, AWG28-14 для плоских Разъемов б/и</t>
  </si>
  <si>
    <t>LY-462WH</t>
  </si>
  <si>
    <t xml:space="preserve"> для набивания резиновых втулок влагозащищенных коннекторов</t>
  </si>
  <si>
    <t>Инструмент, используемый при установке дополнительного оборудования</t>
  </si>
  <si>
    <t>GT 194</t>
  </si>
  <si>
    <t>для демонтажа уплотнителей, панелей и т.п.</t>
  </si>
  <si>
    <t>ДОПОЛНИТЕЛЬНОЕ ОБОРУДОВАНИЕ</t>
  </si>
  <si>
    <t>Электронная секретка ES-1</t>
  </si>
  <si>
    <t>СТЕКЛОПОДЪЕМНИКИ</t>
  </si>
  <si>
    <t xml:space="preserve">Комплекты: стеклоподъемники универсальные+кнопки </t>
  </si>
  <si>
    <t>PW-1</t>
  </si>
  <si>
    <t xml:space="preserve"> универсальный эл.стеклоподъемник, 2двери; 3 кнопки с подсветкой</t>
  </si>
  <si>
    <t>SPL 001</t>
  </si>
  <si>
    <t xml:space="preserve"> универсальный эл.стеклоподъемник, 2двери; 3 кнопки с подсветкой (PW2 в белой коробке)</t>
  </si>
  <si>
    <t>ЗАЩИТНЫЕ ПОКРЫТИЯ</t>
  </si>
  <si>
    <t>Универсальные защитные покрытия</t>
  </si>
  <si>
    <t>NU-55</t>
  </si>
  <si>
    <t>маскирующее укрывное покрытие п/э с клейкой креплентой, 55смХ20м</t>
  </si>
  <si>
    <t>NU-110</t>
  </si>
  <si>
    <t>маскирующее укрывное покрытие п/э с клейкой креплентой, 110смХ20м</t>
  </si>
  <si>
    <t>NU-180</t>
  </si>
  <si>
    <t>маскирующее укрывное покрытие п/э с клейкой креплентой, 180смХ20м</t>
  </si>
  <si>
    <t>NU-270 (15)</t>
  </si>
  <si>
    <t>маскирующее укрывное покрытие п/э с клейкой креплентой, 270смХ15м</t>
  </si>
  <si>
    <t>Защитные покрытия для наружного применения</t>
  </si>
  <si>
    <t>NKA</t>
  </si>
  <si>
    <t>защитная накидка с магнитами на капот для защиты лакокрасочного покрытия, синяя, 195см х 140 см</t>
  </si>
  <si>
    <t>Внутрисалонные защитные покрытия</t>
  </si>
  <si>
    <t>NS-2 накидка на сиденье</t>
  </si>
  <si>
    <t>накидка на сиденье,130см*80см, п/э 12 мкм, 250шт в рулоне</t>
  </si>
  <si>
    <t>NR-1 чехол на руль</t>
  </si>
  <si>
    <t>чехол на руль, d=45см, п/э, 250шт,(в мастер-коробке 4 упаковки), цена за упаковку</t>
  </si>
  <si>
    <t>NR-KIT</t>
  </si>
  <si>
    <t>набор защитной пленки для руля (10 роликов стрейч пленки 110 мм*150м+1 ручка 21см)</t>
  </si>
  <si>
    <t>NKPP-500 чехлы на КПП и ручник</t>
  </si>
  <si>
    <t>чехлы на КПП и ручник, п/э, 500шт в коробке</t>
  </si>
  <si>
    <t>NP-3 защитное покрытие на пол</t>
  </si>
  <si>
    <t>защитное покрытие на пол, 40,5см*52,5см, бумага,"Следы ног вертикальные", 500шт</t>
  </si>
  <si>
    <t>Пакеты для хранения колес</t>
  </si>
  <si>
    <t>NK-110/15</t>
  </si>
  <si>
    <t>Пакеты для хранения колес, 15мк, 110см х 110см (100 шт), белые</t>
  </si>
  <si>
    <t>МОБИЛЬНЫЕ АКСЕССУАРЫ</t>
  </si>
  <si>
    <t xml:space="preserve">Blade 5000 </t>
  </si>
  <si>
    <t>PSC-A2</t>
  </si>
  <si>
    <t>Smart USB Cable для безопасной зарядки гаджетов и проверки емкости аккумуляторов, в т.ч. переносных (пауэрбанков)</t>
  </si>
  <si>
    <t>по запросу</t>
  </si>
  <si>
    <t>для покупателей изоленты Terminator по специальным предложениям на объем</t>
  </si>
  <si>
    <t>ликвидация остатков!!!!</t>
  </si>
  <si>
    <t>прайс-лист действителен с 06.07.2026</t>
  </si>
  <si>
    <t>Кружка с пробковой подставкой TERMINATOR</t>
  </si>
  <si>
    <t>Кружка с логотипом TERMINATOR</t>
  </si>
  <si>
    <t>Плед-трансформер, дорожный вязаный, дизайн "TERMINATOR"</t>
  </si>
  <si>
    <t>П/э; скотч упаковочный 48мм х 50м</t>
  </si>
  <si>
    <t>UP4850 c логотипом TERMINATOR</t>
  </si>
  <si>
    <t>Ультра тонкий пауэрбэнк, черно/белый, покрытие софт-тач, тип батареи: Li-Polymer (cell UL approval), Емкость: 5000mAh, размер: 150*65*9.6 мм, вес: 121.3 г</t>
  </si>
  <si>
    <t>фото</t>
  </si>
  <si>
    <t>WH-2P-F, мама, "Ларгус" Тайвань</t>
  </si>
  <si>
    <t>WH-2P-F, мама, "Ларгус"        (Россия)</t>
  </si>
  <si>
    <t>WH-3P-F мама, Тайвань</t>
  </si>
  <si>
    <t>действителен с 17.08.2026</t>
  </si>
  <si>
    <t>Прайс-лист действителен с 15.01.2026</t>
  </si>
  <si>
    <t>Код</t>
  </si>
  <si>
    <t>ПРОФЕССИОНАЛЬНЫЙ ИНСТРУМЕНТ ДЛЯ УСТАНОВКИ ПЛЕНОК</t>
  </si>
  <si>
    <t>Страна-производитель</t>
  </si>
  <si>
    <t>Мелкий опт</t>
  </si>
  <si>
    <t>ВАШ ЗАКАЗ</t>
  </si>
  <si>
    <t>От 90 000 руб</t>
  </si>
  <si>
    <t>От 25 000 руб</t>
  </si>
  <si>
    <t>Кол-во</t>
  </si>
  <si>
    <t>Ваша цена</t>
  </si>
  <si>
    <t>Сумма</t>
  </si>
  <si>
    <t>Ножи и сменные лезвия</t>
  </si>
  <si>
    <t>GT 108</t>
  </si>
  <si>
    <t>Сменные лезвия для скребка "Triumph", 25 шт.</t>
  </si>
  <si>
    <t>Дания</t>
  </si>
  <si>
    <t>GT 115</t>
  </si>
  <si>
    <t>Сменный лезвия для безопасного ножа GT 125</t>
  </si>
  <si>
    <t>Германия</t>
  </si>
  <si>
    <t>GT 125</t>
  </si>
  <si>
    <t>Безопасный нож для раскроя пленки</t>
  </si>
  <si>
    <t>GT 137</t>
  </si>
  <si>
    <t>Нержавеющие стальные лезвия для чистки стекла, 100 шт</t>
  </si>
  <si>
    <t>США</t>
  </si>
  <si>
    <t>GT 139</t>
  </si>
  <si>
    <t>Пластиковые лезвия для чистки стекла, 100 шт.</t>
  </si>
  <si>
    <t>GT 140</t>
  </si>
  <si>
    <t>Лезвия простые для чистки стекла, 100 шт.</t>
  </si>
  <si>
    <t>Мексика</t>
  </si>
  <si>
    <t>GT 211</t>
  </si>
  <si>
    <t>Сменные лезвия для скребка "Triumph" GT 210, 10 шт.</t>
  </si>
  <si>
    <t>GT 226</t>
  </si>
  <si>
    <t>Нож "Silver Cutter Olfa"  SVR-2 для раскроя пленки</t>
  </si>
  <si>
    <t>Выгонки</t>
  </si>
  <si>
    <t>GT 034</t>
  </si>
  <si>
    <t>Прозрачная выгонка с держателем, 30см</t>
  </si>
  <si>
    <t>GT 042</t>
  </si>
  <si>
    <t>Серебристая выгонка с металлической ручкой</t>
  </si>
  <si>
    <t>цена по запросу</t>
  </si>
  <si>
    <t>GT 044R</t>
  </si>
  <si>
    <t>Выгонка красная, 15см</t>
  </si>
  <si>
    <t>GT 044BLK</t>
  </si>
  <si>
    <t>Выгонка черная, 15см</t>
  </si>
  <si>
    <t>GT 061</t>
  </si>
  <si>
    <t>Полиуретановая прозрачная выгонка для GT 064, 20см</t>
  </si>
  <si>
    <t>GT 062</t>
  </si>
  <si>
    <t>Выгонка металлическая с жесткой вставкой, 15см</t>
  </si>
  <si>
    <t>GT 063</t>
  </si>
  <si>
    <t>Полиуретановая прозрачная выгонка для GT 062, 15см</t>
  </si>
  <si>
    <t>GT 064</t>
  </si>
  <si>
    <t>Выгонка металлическая с жесткой вставкой, 20см</t>
  </si>
  <si>
    <t>GT 066</t>
  </si>
  <si>
    <t>Прозрачная выгонка (большая)</t>
  </si>
  <si>
    <t>GT 067</t>
  </si>
  <si>
    <t>Прозрачная выгонка (малая)</t>
  </si>
  <si>
    <t>GT 069</t>
  </si>
  <si>
    <t>Полиуретановая остроугольная выгонка для GT 062, 15см</t>
  </si>
  <si>
    <t>GT 079</t>
  </si>
  <si>
    <t>Золотая выгонка для разглаживания пленки при разогреве феном, 10см</t>
  </si>
  <si>
    <t>GT 080</t>
  </si>
  <si>
    <t>Синяя выгонка для разглаживания пленки при разогреве феном, 10см</t>
  </si>
  <si>
    <t>GT 083</t>
  </si>
  <si>
    <t>Чиззлер тефлоновый для устранения пыли с помощью фена</t>
  </si>
  <si>
    <t>GT 083W</t>
  </si>
  <si>
    <t>Чиззлер тефлоновый для устранения пыли с помощью фена, белый</t>
  </si>
  <si>
    <t>GT 086</t>
  </si>
  <si>
    <t>Белая тефлон. трапеция для точной подгонки пленки по форме стекла</t>
  </si>
  <si>
    <t>GT 086-6B</t>
  </si>
  <si>
    <t>Черная тефлоновая выгонка (трапеция)</t>
  </si>
  <si>
    <t>GT 086B</t>
  </si>
  <si>
    <t>Черная тефлон. трапеция для точной подгонки пленки по форме стекла</t>
  </si>
  <si>
    <t>GT 086PNK</t>
  </si>
  <si>
    <t>Розовая тефлон. трапеция для точной подгонки пленки по форме стекла</t>
  </si>
  <si>
    <t>GT 086GLD</t>
  </si>
  <si>
    <t>Золотая тефлон. трапеция для точной подгонки пленки по форме стекла</t>
  </si>
  <si>
    <t>GT 086BLUE</t>
  </si>
  <si>
    <t>Синяя тефлон. трапеция для точной подгонки пленки по форме стекла</t>
  </si>
  <si>
    <t>GT 087</t>
  </si>
  <si>
    <t>Желтая выгонка</t>
  </si>
  <si>
    <t>GT 087GR</t>
  </si>
  <si>
    <t>Серая выгонка</t>
  </si>
  <si>
    <t>GT 088</t>
  </si>
  <si>
    <t>Желтая выгонка Bondo</t>
  </si>
  <si>
    <t>GT 091</t>
  </si>
  <si>
    <t>Сламмер для сгона воды на заднем стекле в труднодоступных местах</t>
  </si>
  <si>
    <t>GT 113 Yellow</t>
  </si>
  <si>
    <t>Выгонка Diamond Tip желтая</t>
  </si>
  <si>
    <t>GT 117</t>
  </si>
  <si>
    <t>Выгонка синяя "Blue Max" для сгона и выжимки воды на любых стеклах, 13см</t>
  </si>
  <si>
    <t>GT 117A</t>
  </si>
  <si>
    <t>Выгонка синяя "Blue Max"угловая для сгона и выжимки воды на любых стеклах, 13см</t>
  </si>
  <si>
    <t>GT 119</t>
  </si>
  <si>
    <t>Угловая резиновая выгонка, черная, 10см</t>
  </si>
  <si>
    <t>GT 147</t>
  </si>
  <si>
    <t>Желтая полиуретановая выгонка Turbo для мойки стекол, 50см</t>
  </si>
  <si>
    <t>GT 148</t>
  </si>
  <si>
    <t>Белая выгонка с резиновой вставкой, 15см</t>
  </si>
  <si>
    <t>GT 149</t>
  </si>
  <si>
    <t>Белая выгонка с резиновой вставкой, 30см</t>
  </si>
  <si>
    <t>GT 178</t>
  </si>
  <si>
    <t>Выгонка Reach с прорезиненными краями для работы с пленками в труднодоступных местах, 42 см</t>
  </si>
  <si>
    <t>GT 200 Ultra Gold</t>
  </si>
  <si>
    <t>Треугольная золотая выгонка, EZ Reach ORIGINAL Gold</t>
  </si>
  <si>
    <t>GT 200PLT</t>
  </si>
  <si>
    <t>Треугольная платиновая выгонка, EZ Reach ORIGINAL Platinum</t>
  </si>
  <si>
    <t xml:space="preserve">GT 201Y contour </t>
  </si>
  <si>
    <t>Остроуг.выгонка для разглаж. пленки в труднодоступных местах, желтая</t>
  </si>
  <si>
    <t>GT 202</t>
  </si>
  <si>
    <t>Остроуг.выгонка для разглаж. пленки в труднодоступных местах,черная</t>
  </si>
  <si>
    <t>GT 202B</t>
  </si>
  <si>
    <t>Остроуг.выгонка для разглаж. пленки в труднодоступных местах,черная  с синей вставкой</t>
  </si>
  <si>
    <t>GT 203</t>
  </si>
  <si>
    <t>Выгонка белая "Clear Max" для сгона и выжимки воды на любых стеклах, 13см</t>
  </si>
  <si>
    <t>GT 205 white</t>
  </si>
  <si>
    <t>Выгонка Bulldozer для сгона воды в труднодоступных местах</t>
  </si>
  <si>
    <t>GT 207</t>
  </si>
  <si>
    <t>Выгонка Swiper</t>
  </si>
  <si>
    <t>GT 235</t>
  </si>
  <si>
    <t>Желтая полиуретановая выгонка Turbo для мойки стекол , 15см</t>
  </si>
  <si>
    <t>GT 257</t>
  </si>
  <si>
    <t>Выгонка оранжевая "Orange Crush", 13см</t>
  </si>
  <si>
    <t>GT 258</t>
  </si>
  <si>
    <t>Выгонка оранжевая угловая"Orange Crush", 13см</t>
  </si>
  <si>
    <t>GT 939</t>
  </si>
  <si>
    <t>Выгонка розовая трапеция "Pink Clean", 13см</t>
  </si>
  <si>
    <t>GT 1070</t>
  </si>
  <si>
    <t>Выгонка Smart Cardz - PLATINUM</t>
  </si>
  <si>
    <t>GT 2102</t>
  </si>
  <si>
    <t>Выгонка прозрачная  "Clear Crush",13см</t>
  </si>
  <si>
    <t>GT 2103</t>
  </si>
  <si>
    <t>Выгонка прозрачная трапеция "Clear Crush", 13см</t>
  </si>
  <si>
    <t xml:space="preserve">Скребки и приспособления для очистки </t>
  </si>
  <si>
    <t>GT 045N</t>
  </si>
  <si>
    <t>Сменная черная резинка для GT 053-056, 3м</t>
  </si>
  <si>
    <t>GT 050</t>
  </si>
  <si>
    <t>Металлический держатель с резиновой ручкой</t>
  </si>
  <si>
    <t>GT 053</t>
  </si>
  <si>
    <t>Резина с металлическим кантом для мытья стекол, 15см</t>
  </si>
  <si>
    <t>GT 055</t>
  </si>
  <si>
    <t>Резина с металлическим кантом для мытья стекол, 30см</t>
  </si>
  <si>
    <t>GT 056</t>
  </si>
  <si>
    <t>Резина с металлическим кантом для мытья стекол, 50см</t>
  </si>
  <si>
    <t>GT 107</t>
  </si>
  <si>
    <t xml:space="preserve">Скребок "Triumph" для чистки стекол с большой поверхностью, 15см </t>
  </si>
  <si>
    <t>GT 109</t>
  </si>
  <si>
    <t>Держатель Help Scraper с длинной ручкой для  лезвий GT140,GT137</t>
  </si>
  <si>
    <t>GT 118-6</t>
  </si>
  <si>
    <t>Жесткая вставка для GT 053, GT 207, 15см</t>
  </si>
  <si>
    <t>GT 118-18</t>
  </si>
  <si>
    <t>Жесткая вставка для GT 053-056, 45см</t>
  </si>
  <si>
    <t>GT 138 HYDE</t>
  </si>
  <si>
    <t>Держатель металлический с выдвижным лезвием  эргон.форма</t>
  </si>
  <si>
    <t>GT 210</t>
  </si>
  <si>
    <t>Скребок "Triumph" для чистки стекол, 7,5см</t>
  </si>
  <si>
    <t>GT 212</t>
  </si>
  <si>
    <t>Пластмассовый скребок-держатель для металлических лезвий</t>
  </si>
  <si>
    <t>Специальные материалы для установки виниловых и полиуретановых пленок</t>
  </si>
  <si>
    <t>GT 1000</t>
  </si>
  <si>
    <t>Выгонка из фетра MACTAC</t>
  </si>
  <si>
    <t>GT 1010</t>
  </si>
  <si>
    <t xml:space="preserve">Выгонка 3М для установки антигравийной пленки, 7,5см * 5,0см </t>
  </si>
  <si>
    <t>GT 1022</t>
  </si>
  <si>
    <t>Выгонка с синей вставкой</t>
  </si>
  <si>
    <t>GT 2109 Fusion Blue</t>
  </si>
  <si>
    <t>Вставка для GT 1022 жесткость 94</t>
  </si>
  <si>
    <t>GT 2110 Fusion Orange</t>
  </si>
  <si>
    <t xml:space="preserve"> Вставка для GT 1022 жесткость 85</t>
  </si>
  <si>
    <t>GT 1064</t>
  </si>
  <si>
    <t>Выгонка с фетровой вставкой, 10см</t>
  </si>
  <si>
    <t>GT 1065</t>
  </si>
  <si>
    <t>Фетровая муфта, 10см</t>
  </si>
  <si>
    <t>GT 266</t>
  </si>
  <si>
    <t>Сменные стальные лезвия для ножа "Silver Cutter Olfa" (спец. для PPF и Vinyl), 10шт.</t>
  </si>
  <si>
    <t>GT 2002</t>
  </si>
  <si>
    <t>Выгонка с магнитными вставками MAGNET, 10см</t>
  </si>
  <si>
    <t>GT 2007</t>
  </si>
  <si>
    <t>Выгонка угловая с фетровой вставкой Mango, 15см</t>
  </si>
  <si>
    <t>GT 2104</t>
  </si>
  <si>
    <t xml:space="preserve">Выгонка PPF BLACKOUT </t>
  </si>
  <si>
    <t>GT 2106</t>
  </si>
  <si>
    <t>Выгонка для PPF, HYBRID 4"</t>
  </si>
  <si>
    <t>Различные инструменты и приспособления</t>
  </si>
  <si>
    <t>GT 068</t>
  </si>
  <si>
    <t>Точило для GT 079, 080, 087</t>
  </si>
  <si>
    <t>GT 076</t>
  </si>
  <si>
    <t>Черный маскировочный маркер, тонкий</t>
  </si>
  <si>
    <t>GT 096</t>
  </si>
  <si>
    <t>Распылитель автоматический, 1,25л Hozelock</t>
  </si>
  <si>
    <t>Англия</t>
  </si>
  <si>
    <t>GT 132</t>
  </si>
  <si>
    <t>Крюк для извлечения дверного уплотнителя</t>
  </si>
  <si>
    <t>GT 157</t>
  </si>
  <si>
    <t>Маскировочная лента (черная), ширина 1,25 см, длина 45м</t>
  </si>
  <si>
    <t>GT 158</t>
  </si>
  <si>
    <t>Маскировочная лента (черная), ширина 2,5 см, длина  45м</t>
  </si>
  <si>
    <t>GT 162P</t>
  </si>
  <si>
    <t>Концентрат для снятия клея со стекла, 3,8л</t>
  </si>
  <si>
    <t>GT 190</t>
  </si>
  <si>
    <t>Лекало для точной нарезки углов</t>
  </si>
  <si>
    <t>Нейлоновый уплотнитель для фиксации оконных уплотнителей</t>
  </si>
  <si>
    <t>GT 735</t>
  </si>
  <si>
    <t>"Film On" - жидкость для установки пленок с PS-адгезией, 1л</t>
  </si>
  <si>
    <t xml:space="preserve">Дозатор для баллона 1л. GT 735 "Film On" </t>
  </si>
  <si>
    <t>E-mail: office@arttekfilms.ru        Сайт:  https://arttekfilms.ru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</si>
</sst>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dd/mm/yy;@"/>
    <numFmt numFmtId="166" formatCode="#,##0.00;-#,##0.00;&quot;&quot;"/>
  </numFmts>
  <fonts count="56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62"/>
      <name val="Arial"/>
      <family val="2"/>
      <charset val="204"/>
    </font>
    <font>
      <u/>
      <sz val="10"/>
      <color indexed="10"/>
      <name val="Arial Cyr"/>
      <charset val="204"/>
    </font>
    <font>
      <sz val="8"/>
      <name val="Arial Cyr"/>
      <charset val="204"/>
    </font>
    <font>
      <sz val="10"/>
      <color indexed="48"/>
      <name val="Arial Cyr"/>
      <charset val="204"/>
    </font>
    <font>
      <sz val="10"/>
      <color indexed="48"/>
      <name val="Arial"/>
      <family val="2"/>
      <charset val="204"/>
    </font>
    <font>
      <u/>
      <sz val="10"/>
      <color indexed="48"/>
      <name val="Arial"/>
      <family val="2"/>
      <charset val="204"/>
    </font>
    <font>
      <u/>
      <sz val="10"/>
      <color indexed="48"/>
      <name val="Arial Cyr"/>
      <charset val="204"/>
    </font>
    <font>
      <sz val="11"/>
      <name val="Arial Cyr"/>
      <charset val="204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u/>
      <sz val="10"/>
      <color rgb="FFFF0000"/>
      <name val="Arial Cyr"/>
      <charset val="204"/>
    </font>
    <font>
      <sz val="10"/>
      <name val="Arial Cyr"/>
      <charset val="204"/>
    </font>
    <font>
      <u/>
      <sz val="12"/>
      <color indexed="12"/>
      <name val="Arial Cyr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sz val="12"/>
      <color indexed="16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660066"/>
      <name val="Arial"/>
      <family val="2"/>
      <charset val="204"/>
    </font>
    <font>
      <i/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1"/>
      <name val="Times New Roman Cyr"/>
      <charset val="204"/>
    </font>
    <font>
      <b/>
      <sz val="16"/>
      <name val="Times New Roman Cyr"/>
      <family val="1"/>
      <charset val="204"/>
    </font>
    <font>
      <b/>
      <i/>
      <sz val="9"/>
      <name val="Arial"/>
      <family val="2"/>
      <charset val="204"/>
    </font>
    <font>
      <b/>
      <sz val="10"/>
      <name val="Times New Roman Cyr"/>
      <charset val="204"/>
    </font>
    <font>
      <b/>
      <sz val="11"/>
      <color indexed="10"/>
      <name val="Arial Cyr"/>
      <charset val="204"/>
    </font>
    <font>
      <b/>
      <i/>
      <sz val="10"/>
      <name val="Arial Cyr"/>
      <charset val="204"/>
    </font>
    <font>
      <b/>
      <i/>
      <sz val="10"/>
      <color theme="5" tint="-0.24994659260841701"/>
      <name val="Arial Cyr"/>
      <charset val="204"/>
    </font>
    <font>
      <b/>
      <i/>
      <sz val="10"/>
      <name val="Arial Cyr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6"/>
      <color rgb="FF262626"/>
      <name val="Arial"/>
      <family val="2"/>
    </font>
    <font>
      <sz val="10"/>
      <color rgb="FF595959"/>
      <name val="Arial"/>
      <family val="2"/>
    </font>
    <font>
      <sz val="10"/>
      <color rgb="FF262626"/>
      <name val="Arial"/>
      <family val="2"/>
    </font>
    <font>
      <b/>
      <sz val="10"/>
      <color rgb="FF262626"/>
      <name val="Arial"/>
      <family val="2"/>
    </font>
    <font>
      <b/>
      <sz val="9"/>
      <color rgb="FFFFFFFF"/>
      <name val="Arial"/>
      <family val="2"/>
    </font>
    <font>
      <b/>
      <sz val="11"/>
      <color rgb="FF262626"/>
      <name val="Arial"/>
      <family val="2"/>
    </font>
    <font>
      <b/>
      <i/>
      <sz val="10"/>
      <color rgb="FF800000"/>
      <name val="Arial"/>
      <family val="2"/>
    </font>
    <font>
      <b/>
      <sz val="10"/>
      <color rgb="FFC00000"/>
      <name val="Arial"/>
      <family val="2"/>
    </font>
    <font>
      <b/>
      <sz val="12"/>
      <color rgb="FF262626"/>
      <name val="Arial"/>
      <family val="2"/>
    </font>
    <font>
      <sz val="10"/>
      <color rgb="FFA6A6A6"/>
      <name val="Arial"/>
      <family val="2"/>
    </font>
    <font>
      <i/>
      <sz val="9"/>
      <color rgb="FF595959"/>
      <name val="Arial"/>
      <family val="2"/>
    </font>
    <font>
      <b/>
      <u/>
      <sz val="10"/>
      <color rgb="FF0563C1"/>
      <name val="Arial"/>
      <family val="2"/>
    </font>
    <font>
      <b/>
      <sz val="11"/>
      <color rgb="FFFFFFFF"/>
      <name val="Arial"/>
      <family val="2"/>
    </font>
    <font>
      <sz val="9"/>
      <color rgb="FF8C8C8C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404040"/>
      </patternFill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rgb="FFF5F5F5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22"/>
      </right>
      <top style="double">
        <color indexed="64"/>
      </top>
      <bottom/>
      <diagonal/>
    </border>
    <border>
      <left style="double">
        <color indexed="22"/>
      </left>
      <right style="double">
        <color indexed="22"/>
      </right>
      <top style="double">
        <color indexed="64"/>
      </top>
      <bottom/>
      <diagonal/>
    </border>
    <border>
      <left style="double">
        <color indexed="22"/>
      </left>
      <right style="double">
        <color indexed="22"/>
      </right>
      <top style="double">
        <color indexed="64"/>
      </top>
      <bottom style="double">
        <color indexed="22"/>
      </bottom>
      <diagonal/>
    </border>
    <border>
      <left style="double">
        <color indexed="22"/>
      </left>
      <right style="double">
        <color indexed="64"/>
      </right>
      <top style="double">
        <color indexed="64"/>
      </top>
      <bottom style="double">
        <color indexed="2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22"/>
      </right>
      <top/>
      <bottom style="double">
        <color indexed="64"/>
      </bottom>
      <diagonal/>
    </border>
    <border>
      <left style="double">
        <color indexed="22"/>
      </left>
      <right style="double">
        <color indexed="22"/>
      </right>
      <top/>
      <bottom style="double">
        <color indexed="64"/>
      </bottom>
      <diagonal/>
    </border>
    <border>
      <left style="double">
        <color indexed="22"/>
      </left>
      <right style="double">
        <color indexed="22"/>
      </right>
      <top style="double">
        <color indexed="22"/>
      </top>
      <bottom style="double">
        <color indexed="64"/>
      </bottom>
      <diagonal/>
    </border>
    <border>
      <left style="double">
        <color indexed="22"/>
      </left>
      <right style="double">
        <color indexed="64"/>
      </right>
      <top style="double">
        <color indexed="22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theme="0" tint="-0.24994659260841701"/>
      </bottom>
      <diagonal/>
    </border>
    <border>
      <left/>
      <right/>
      <top style="double">
        <color indexed="64"/>
      </top>
      <bottom style="double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double">
        <color theme="0" tint="-0.24994659260841701"/>
      </bottom>
      <diagonal/>
    </border>
    <border>
      <left style="double">
        <color indexed="64"/>
      </left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 style="double">
        <color indexed="64"/>
      </right>
      <top style="double">
        <color theme="0" tint="-0.24994659260841701"/>
      </top>
      <bottom style="double">
        <color theme="0" tint="-0.24994659260841701"/>
      </bottom>
      <diagonal/>
    </border>
    <border>
      <left/>
      <right/>
      <top style="double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double">
        <color theme="0" tint="-0.24994659260841701"/>
      </top>
      <bottom style="double">
        <color indexed="64"/>
      </bottom>
      <diagonal/>
    </border>
    <border>
      <left style="double">
        <color indexed="64"/>
      </left>
      <right style="double">
        <color indexed="22"/>
      </right>
      <top/>
      <bottom style="double">
        <color indexed="22"/>
      </bottom>
      <diagonal/>
    </border>
    <border>
      <left style="double">
        <color indexed="22"/>
      </left>
      <right style="double">
        <color indexed="22"/>
      </right>
      <top/>
      <bottom style="double">
        <color indexed="22"/>
      </bottom>
      <diagonal/>
    </border>
    <border>
      <left style="double">
        <color indexed="22"/>
      </left>
      <right style="double">
        <color indexed="64"/>
      </right>
      <top/>
      <bottom style="double">
        <color indexed="22"/>
      </bottom>
      <diagonal/>
    </border>
    <border>
      <left style="double">
        <color indexed="64"/>
      </left>
      <right style="double">
        <color indexed="64"/>
      </right>
      <top style="double">
        <color indexed="22"/>
      </top>
      <bottom style="double">
        <color indexed="22"/>
      </bottom>
      <diagonal/>
    </border>
    <border>
      <left style="double">
        <color indexed="64"/>
      </left>
      <right style="double">
        <color indexed="22"/>
      </right>
      <top style="double">
        <color indexed="22"/>
      </top>
      <bottom style="double">
        <color indexed="22"/>
      </bottom>
      <diagonal/>
    </border>
    <border>
      <left style="double">
        <color indexed="22"/>
      </left>
      <right style="double">
        <color indexed="22"/>
      </right>
      <top style="double">
        <color indexed="22"/>
      </top>
      <bottom style="double">
        <color indexed="22"/>
      </bottom>
      <diagonal/>
    </border>
    <border>
      <left style="double">
        <color indexed="22"/>
      </left>
      <right style="double">
        <color indexed="64"/>
      </right>
      <top style="double">
        <color indexed="22"/>
      </top>
      <bottom style="double">
        <color indexed="22"/>
      </bottom>
      <diagonal/>
    </border>
    <border>
      <left style="double">
        <color indexed="64"/>
      </left>
      <right/>
      <top style="double">
        <color indexed="22"/>
      </top>
      <bottom style="double">
        <color indexed="22"/>
      </bottom>
      <diagonal/>
    </border>
    <border>
      <left/>
      <right/>
      <top style="double">
        <color indexed="22"/>
      </top>
      <bottom style="double">
        <color indexed="22"/>
      </bottom>
      <diagonal/>
    </border>
    <border>
      <left/>
      <right style="double">
        <color indexed="64"/>
      </right>
      <top style="double">
        <color indexed="22"/>
      </top>
      <bottom style="double">
        <color indexed="22"/>
      </bottom>
      <diagonal/>
    </border>
    <border>
      <left style="double">
        <color indexed="64"/>
      </left>
      <right style="double">
        <color indexed="22"/>
      </right>
      <top style="double">
        <color indexed="22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22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22"/>
      </bottom>
      <diagonal/>
    </border>
    <border>
      <left/>
      <right style="double">
        <color indexed="22"/>
      </right>
      <top style="double">
        <color indexed="22"/>
      </top>
      <bottom style="double">
        <color indexed="22"/>
      </bottom>
      <diagonal/>
    </border>
    <border>
      <left style="double">
        <color indexed="64"/>
      </left>
      <right style="double">
        <color indexed="22"/>
      </right>
      <top style="double">
        <color indexed="22"/>
      </top>
      <bottom/>
      <diagonal/>
    </border>
    <border>
      <left style="double">
        <color indexed="22"/>
      </left>
      <right style="double">
        <color indexed="22"/>
      </right>
      <top style="double">
        <color indexed="22"/>
      </top>
      <bottom/>
      <diagonal/>
    </border>
    <border>
      <left style="double">
        <color indexed="22"/>
      </left>
      <right style="double">
        <color indexed="64"/>
      </right>
      <top style="double">
        <color indexed="22"/>
      </top>
      <bottom/>
      <diagonal/>
    </border>
    <border>
      <left style="double">
        <color indexed="22"/>
      </left>
      <right style="double">
        <color auto="1"/>
      </right>
      <top style="double">
        <color indexed="22"/>
      </top>
      <bottom style="double">
        <color indexed="22"/>
      </bottom>
      <diagonal/>
    </border>
    <border>
      <left style="double">
        <color indexed="22"/>
      </left>
      <right/>
      <top style="double">
        <color indexed="22"/>
      </top>
      <bottom style="double">
        <color indexed="22"/>
      </bottom>
      <diagonal/>
    </border>
    <border>
      <left style="double">
        <color indexed="22"/>
      </left>
      <right style="double">
        <color auto="1"/>
      </right>
      <top style="double">
        <color indexed="22"/>
      </top>
      <bottom/>
      <diagonal/>
    </border>
    <border>
      <left style="double">
        <color indexed="22"/>
      </left>
      <right style="double">
        <color auto="1"/>
      </right>
      <top style="double">
        <color indexed="22"/>
      </top>
      <bottom style="double">
        <color indexed="64"/>
      </bottom>
      <diagonal/>
    </border>
    <border>
      <left style="double">
        <color indexed="22"/>
      </left>
      <right style="double">
        <color indexed="22"/>
      </right>
      <top style="double">
        <color indexed="22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double">
        <color indexed="22"/>
      </top>
      <bottom style="double">
        <color indexed="22"/>
      </bottom>
      <diagonal/>
    </border>
    <border>
      <left style="thin">
        <color indexed="22"/>
      </left>
      <right style="double">
        <color indexed="64"/>
      </right>
      <top style="double">
        <color indexed="22"/>
      </top>
      <bottom style="double">
        <color indexed="22"/>
      </bottom>
      <diagonal/>
    </border>
    <border>
      <left style="double">
        <color indexed="64"/>
      </left>
      <right/>
      <top/>
      <bottom style="double">
        <color indexed="22"/>
      </bottom>
      <diagonal/>
    </border>
    <border>
      <left style="double">
        <color indexed="22"/>
      </left>
      <right style="double">
        <color indexed="64"/>
      </right>
      <top/>
      <bottom style="double">
        <color indexed="64"/>
      </bottom>
      <diagonal/>
    </border>
    <border>
      <left style="double">
        <color theme="0" tint="-0.24994659260841701"/>
      </left>
      <right style="double">
        <color indexed="64"/>
      </right>
      <top style="double">
        <color indexed="22"/>
      </top>
      <bottom style="double">
        <color indexed="64"/>
      </bottom>
      <diagonal/>
    </border>
    <border>
      <left/>
      <right style="double">
        <color indexed="22"/>
      </right>
      <top style="double">
        <color indexed="22"/>
      </top>
      <bottom style="double">
        <color indexed="64"/>
      </bottom>
      <diagonal/>
    </border>
    <border>
      <left style="double">
        <color indexed="22"/>
      </left>
      <right/>
      <top style="double">
        <color indexed="22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22"/>
      </bottom>
      <diagonal/>
    </border>
    <border>
      <left/>
      <right/>
      <top style="double">
        <color indexed="64"/>
      </top>
      <bottom style="double">
        <color indexed="22"/>
      </bottom>
      <diagonal/>
    </border>
    <border>
      <left style="double">
        <color indexed="22"/>
      </left>
      <right/>
      <top style="double">
        <color indexed="64"/>
      </top>
      <bottom style="double">
        <color indexed="22"/>
      </bottom>
      <diagonal/>
    </border>
    <border>
      <left/>
      <right style="double">
        <color indexed="22"/>
      </right>
      <top/>
      <bottom style="double">
        <color indexed="22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22"/>
      </right>
      <top/>
      <bottom style="double">
        <color indexed="64"/>
      </bottom>
      <diagonal/>
    </border>
    <border>
      <left/>
      <right style="double">
        <color indexed="22"/>
      </right>
      <top style="double">
        <color indexed="64"/>
      </top>
      <bottom/>
      <diagonal/>
    </border>
    <border>
      <left/>
      <right style="double">
        <color indexed="22"/>
      </right>
      <top style="double">
        <color indexed="22"/>
      </top>
      <bottom/>
      <diagonal/>
    </border>
    <border>
      <left style="double">
        <color indexed="22"/>
      </left>
      <right style="double">
        <color indexed="22"/>
      </right>
      <top/>
      <bottom/>
      <diagonal/>
    </border>
    <border>
      <left/>
      <right style="double">
        <color indexed="22"/>
      </right>
      <top/>
      <bottom/>
      <diagonal/>
    </border>
    <border>
      <left style="double">
        <color indexed="22"/>
      </left>
      <right style="double">
        <color indexed="22"/>
      </right>
      <top style="double">
        <color indexed="22"/>
      </top>
      <bottom style="double">
        <color theme="0" tint="-0.24994659260841701"/>
      </bottom>
      <diagonal/>
    </border>
    <border>
      <left/>
      <right style="double">
        <color indexed="22"/>
      </right>
      <top style="double">
        <color indexed="22"/>
      </top>
      <bottom style="double">
        <color theme="0" tint="-0.24994659260841701"/>
      </bottom>
      <diagonal/>
    </border>
    <border>
      <left style="double">
        <color indexed="64"/>
      </left>
      <right style="double">
        <color indexed="22"/>
      </right>
      <top style="double">
        <color indexed="22"/>
      </top>
      <bottom style="double">
        <color theme="0" tint="-0.24994659260841701"/>
      </bottom>
      <diagonal/>
    </border>
    <border>
      <left style="double">
        <color indexed="64"/>
      </left>
      <right/>
      <top style="double">
        <color indexed="64"/>
      </top>
      <bottom style="double">
        <color indexed="22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double">
        <color indexed="22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55"/>
      </top>
      <bottom style="double">
        <color indexed="55"/>
      </bottom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uble">
        <color indexed="64"/>
      </left>
      <right/>
      <top style="double">
        <color indexed="55"/>
      </top>
      <bottom style="double">
        <color indexed="55"/>
      </bottom>
      <diagonal/>
    </border>
    <border>
      <left/>
      <right style="double">
        <color indexed="64"/>
      </right>
      <top style="double">
        <color indexed="64"/>
      </top>
      <bottom style="double">
        <color indexed="55"/>
      </bottom>
      <diagonal/>
    </border>
    <border>
      <left/>
      <right/>
      <top style="double">
        <color indexed="64"/>
      </top>
      <bottom style="double">
        <color indexed="55"/>
      </bottom>
      <diagonal/>
    </border>
    <border>
      <left style="double">
        <color indexed="64"/>
      </left>
      <right/>
      <top style="double">
        <color indexed="64"/>
      </top>
      <bottom style="double">
        <color indexed="55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22"/>
      </bottom>
      <diagonal/>
    </border>
    <border>
      <left/>
      <right style="double">
        <color indexed="64"/>
      </right>
      <top/>
      <bottom style="double">
        <color indexed="2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theme="0" tint="-0.2499465926084170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theme="0" tint="-0.14996795556505021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theme="0" tint="-0.14996795556505021"/>
      </left>
      <right style="double">
        <color indexed="64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indexed="64"/>
      </left>
      <right style="double">
        <color indexed="64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indexed="64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theme="0" tint="-0.14996795556505021"/>
      </left>
      <right/>
      <top style="double">
        <color indexed="22"/>
      </top>
      <bottom style="double">
        <color theme="0" tint="-0.14996795556505021"/>
      </bottom>
      <diagonal/>
    </border>
    <border>
      <left/>
      <right/>
      <top style="double">
        <color indexed="22"/>
      </top>
      <bottom style="double">
        <color theme="0" tint="-0.14996795556505021"/>
      </bottom>
      <diagonal/>
    </border>
    <border>
      <left/>
      <right style="double">
        <color indexed="64"/>
      </right>
      <top style="double">
        <color indexed="22"/>
      </top>
      <bottom style="double">
        <color theme="0" tint="-0.14996795556505021"/>
      </bottom>
      <diagonal/>
    </border>
    <border>
      <left style="double">
        <color theme="0" tint="-0.14996795556505021"/>
      </left>
      <right/>
      <top style="double">
        <color theme="0" tint="-0.14996795556505021"/>
      </top>
      <bottom/>
      <diagonal/>
    </border>
    <border>
      <left/>
      <right/>
      <top style="double">
        <color theme="0" tint="-0.14996795556505021"/>
      </top>
      <bottom/>
      <diagonal/>
    </border>
    <border>
      <left/>
      <right style="double">
        <color indexed="64"/>
      </right>
      <top style="double">
        <color theme="0" tint="-0.24994659260841701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theme="0" tint="-0.14996795556505021"/>
      </left>
      <right/>
      <top/>
      <bottom/>
      <diagonal/>
    </border>
    <border>
      <left style="double">
        <color indexed="64"/>
      </left>
      <right style="double">
        <color theme="0" tint="-0.14996795556505021"/>
      </right>
      <top style="double">
        <color theme="0" tint="-0.14996795556505021"/>
      </top>
      <bottom style="double">
        <color indexed="64"/>
      </bottom>
      <diagonal/>
    </border>
    <border>
      <left style="double">
        <color theme="0" tint="-0.14996795556505021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rgb="FFD9C27A"/>
      </left>
      <right style="thin">
        <color rgb="FFD9C27A"/>
      </right>
      <top style="thin">
        <color rgb="FFD9C27A"/>
      </top>
      <bottom style="thin">
        <color rgb="FFD9C27A"/>
      </bottom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D9D9D9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2" fontId="25" fillId="0" borderId="0" applyProtection="0"/>
    <xf numFmtId="0" fontId="18" fillId="0" borderId="0"/>
    <xf numFmtId="0" fontId="18" fillId="0" borderId="0"/>
  </cellStyleXfs>
  <cellXfs count="332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wrapText="1" indent="1"/>
    </xf>
    <xf numFmtId="0" fontId="8" fillId="2" borderId="0" xfId="1" applyFont="1" applyFill="1" applyAlignment="1" applyProtection="1"/>
    <xf numFmtId="0" fontId="10" fillId="2" borderId="0" xfId="0" applyFont="1" applyFill="1"/>
    <xf numFmtId="0" fontId="11" fillId="2" borderId="0" xfId="0" applyFont="1" applyFill="1"/>
    <xf numFmtId="0" fontId="12" fillId="2" borderId="0" xfId="1" applyFont="1" applyFill="1" applyAlignment="1" applyProtection="1"/>
    <xf numFmtId="0" fontId="13" fillId="2" borderId="0" xfId="1" applyFont="1" applyFill="1" applyAlignment="1" applyProtection="1"/>
    <xf numFmtId="0" fontId="15" fillId="2" borderId="0" xfId="0" applyFont="1" applyFill="1" applyBorder="1" applyAlignment="1"/>
    <xf numFmtId="0" fontId="16" fillId="2" borderId="0" xfId="0" applyFont="1" applyFill="1"/>
    <xf numFmtId="0" fontId="17" fillId="2" borderId="0" xfId="1" applyFont="1" applyFill="1" applyAlignment="1" applyProtection="1"/>
    <xf numFmtId="0" fontId="1" fillId="0" borderId="0" xfId="1" applyAlignment="1" applyProtection="1">
      <alignment vertical="center"/>
    </xf>
    <xf numFmtId="14" fontId="20" fillId="0" borderId="9" xfId="0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4" fontId="20" fillId="0" borderId="9" xfId="0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164" fontId="24" fillId="0" borderId="17" xfId="0" applyNumberFormat="1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2" fontId="24" fillId="0" borderId="21" xfId="3" applyFont="1" applyFill="1" applyBorder="1" applyAlignment="1">
      <alignment vertical="center" wrapText="1"/>
    </xf>
    <xf numFmtId="4" fontId="24" fillId="0" borderId="21" xfId="3" applyNumberFormat="1" applyFont="1" applyFill="1" applyBorder="1" applyAlignment="1">
      <alignment horizontal="right" vertical="center" wrapText="1"/>
    </xf>
    <xf numFmtId="4" fontId="24" fillId="0" borderId="22" xfId="3" applyNumberFormat="1" applyFont="1" applyFill="1" applyBorder="1" applyAlignment="1">
      <alignment horizontal="right" vertical="center" wrapText="1"/>
    </xf>
    <xf numFmtId="164" fontId="24" fillId="0" borderId="22" xfId="3" applyNumberFormat="1" applyFont="1" applyFill="1" applyBorder="1" applyAlignment="1">
      <alignment vertical="center" wrapText="1"/>
    </xf>
    <xf numFmtId="0" fontId="22" fillId="5" borderId="23" xfId="0" applyFont="1" applyFill="1" applyBorder="1" applyAlignment="1">
      <alignment horizontal="center" vertical="center" wrapText="1"/>
    </xf>
    <xf numFmtId="2" fontId="24" fillId="0" borderId="24" xfId="3" applyFont="1" applyFill="1" applyBorder="1" applyAlignment="1">
      <alignment vertical="center" wrapText="1"/>
    </xf>
    <xf numFmtId="4" fontId="24" fillId="0" borderId="24" xfId="3" applyNumberFormat="1" applyFont="1" applyFill="1" applyBorder="1" applyAlignment="1">
      <alignment horizontal="right" vertical="center" wrapText="1"/>
    </xf>
    <xf numFmtId="4" fontId="24" fillId="0" borderId="25" xfId="3" applyNumberFormat="1" applyFont="1" applyFill="1" applyBorder="1" applyAlignment="1">
      <alignment horizontal="right" vertical="center" wrapText="1"/>
    </xf>
    <xf numFmtId="164" fontId="24" fillId="0" borderId="25" xfId="3" applyNumberFormat="1" applyFont="1" applyFill="1" applyBorder="1" applyAlignment="1">
      <alignment vertical="center" wrapText="1"/>
    </xf>
    <xf numFmtId="0" fontId="22" fillId="6" borderId="15" xfId="0" applyFont="1" applyFill="1" applyBorder="1" applyAlignment="1">
      <alignment horizontal="center" vertical="center" wrapText="1"/>
    </xf>
    <xf numFmtId="2" fontId="24" fillId="0" borderId="26" xfId="3" applyFont="1" applyFill="1" applyBorder="1" applyAlignment="1">
      <alignment vertical="center" wrapText="1"/>
    </xf>
    <xf numFmtId="4" fontId="24" fillId="0" borderId="26" xfId="3" applyNumberFormat="1" applyFont="1" applyFill="1" applyBorder="1" applyAlignment="1">
      <alignment horizontal="right" vertical="center" wrapText="1"/>
    </xf>
    <xf numFmtId="4" fontId="24" fillId="0" borderId="27" xfId="3" applyNumberFormat="1" applyFont="1" applyFill="1" applyBorder="1" applyAlignment="1">
      <alignment horizontal="right" vertical="center" wrapText="1"/>
    </xf>
    <xf numFmtId="164" fontId="24" fillId="0" borderId="27" xfId="3" applyNumberFormat="1" applyFont="1" applyFill="1" applyBorder="1" applyAlignment="1">
      <alignment vertical="center" wrapText="1"/>
    </xf>
    <xf numFmtId="4" fontId="27" fillId="7" borderId="31" xfId="3" applyNumberFormat="1" applyFont="1" applyFill="1" applyBorder="1" applyAlignment="1">
      <alignment horizontal="center" vertical="center"/>
    </xf>
    <xf numFmtId="49" fontId="3" fillId="0" borderId="32" xfId="3" applyNumberFormat="1" applyFont="1" applyFill="1" applyBorder="1" applyAlignment="1">
      <alignment horizontal="left" vertical="center" indent="1"/>
    </xf>
    <xf numFmtId="2" fontId="29" fillId="0" borderId="33" xfId="3" applyFont="1" applyFill="1" applyBorder="1" applyAlignment="1">
      <alignment horizontal="left" vertical="center" wrapText="1"/>
    </xf>
    <xf numFmtId="0" fontId="29" fillId="0" borderId="33" xfId="0" applyFont="1" applyFill="1" applyBorder="1" applyAlignment="1">
      <alignment horizontal="center" vertical="center" wrapText="1"/>
    </xf>
    <xf numFmtId="4" fontId="3" fillId="0" borderId="33" xfId="3" applyNumberFormat="1" applyFont="1" applyFill="1" applyBorder="1" applyAlignment="1">
      <alignment horizontal="right" vertical="center"/>
    </xf>
    <xf numFmtId="4" fontId="3" fillId="0" borderId="34" xfId="3" applyNumberFormat="1" applyFont="1" applyFill="1" applyBorder="1" applyAlignment="1">
      <alignment horizontal="right" vertical="center"/>
    </xf>
    <xf numFmtId="49" fontId="3" fillId="0" borderId="35" xfId="3" applyNumberFormat="1" applyFont="1" applyFill="1" applyBorder="1" applyAlignment="1">
      <alignment horizontal="left" vertical="center" indent="1"/>
    </xf>
    <xf numFmtId="2" fontId="29" fillId="0" borderId="36" xfId="3" applyFont="1" applyFill="1" applyBorder="1" applyAlignment="1">
      <alignment horizontal="left" vertical="center" wrapText="1"/>
    </xf>
    <xf numFmtId="49" fontId="3" fillId="6" borderId="32" xfId="3" applyNumberFormat="1" applyFont="1" applyFill="1" applyBorder="1" applyAlignment="1">
      <alignment horizontal="left" vertical="center" indent="1"/>
    </xf>
    <xf numFmtId="4" fontId="3" fillId="6" borderId="33" xfId="3" applyNumberFormat="1" applyFont="1" applyFill="1" applyBorder="1" applyAlignment="1">
      <alignment horizontal="right" vertical="center"/>
    </xf>
    <xf numFmtId="4" fontId="3" fillId="6" borderId="34" xfId="3" applyNumberFormat="1" applyFont="1" applyFill="1" applyBorder="1" applyAlignment="1">
      <alignment horizontal="right" vertical="center"/>
    </xf>
    <xf numFmtId="0" fontId="1" fillId="2" borderId="31" xfId="2" applyFill="1" applyBorder="1" applyAlignment="1" applyProtection="1">
      <alignment horizontal="center"/>
    </xf>
    <xf numFmtId="49" fontId="3" fillId="0" borderId="38" xfId="3" applyNumberFormat="1" applyFont="1" applyFill="1" applyBorder="1" applyAlignment="1">
      <alignment horizontal="left" vertical="center" indent="1"/>
    </xf>
    <xf numFmtId="2" fontId="29" fillId="0" borderId="17" xfId="3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center" vertical="center" wrapText="1"/>
    </xf>
    <xf numFmtId="4" fontId="3" fillId="0" borderId="17" xfId="3" applyNumberFormat="1" applyFont="1" applyFill="1" applyBorder="1" applyAlignment="1">
      <alignment horizontal="right" vertical="center"/>
    </xf>
    <xf numFmtId="4" fontId="3" fillId="0" borderId="18" xfId="3" applyNumberFormat="1" applyFont="1" applyFill="1" applyBorder="1" applyAlignment="1">
      <alignment horizontal="right" vertical="center"/>
    </xf>
    <xf numFmtId="4" fontId="27" fillId="7" borderId="39" xfId="3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indent="1"/>
    </xf>
    <xf numFmtId="0" fontId="5" fillId="0" borderId="0" xfId="0" applyFont="1" applyFill="1"/>
    <xf numFmtId="0" fontId="31" fillId="0" borderId="0" xfId="0" applyFont="1" applyFill="1"/>
    <xf numFmtId="4" fontId="3" fillId="0" borderId="0" xfId="0" applyNumberFormat="1" applyFont="1" applyFill="1" applyAlignment="1">
      <alignment horizontal="right"/>
    </xf>
    <xf numFmtId="0" fontId="0" fillId="0" borderId="0" xfId="0" applyFont="1"/>
    <xf numFmtId="4" fontId="27" fillId="7" borderId="40" xfId="3" applyNumberFormat="1" applyFont="1" applyFill="1" applyBorder="1" applyAlignment="1">
      <alignment horizontal="center" vertical="center"/>
    </xf>
    <xf numFmtId="49" fontId="3" fillId="6" borderId="38" xfId="3" applyNumberFormat="1" applyFont="1" applyFill="1" applyBorder="1" applyAlignment="1">
      <alignment horizontal="left" vertical="center" indent="1"/>
    </xf>
    <xf numFmtId="4" fontId="3" fillId="6" borderId="17" xfId="3" applyNumberFormat="1" applyFont="1" applyFill="1" applyBorder="1" applyAlignment="1">
      <alignment horizontal="right" vertical="center"/>
    </xf>
    <xf numFmtId="4" fontId="3" fillId="6" borderId="18" xfId="3" applyNumberFormat="1" applyFont="1" applyFill="1" applyBorder="1" applyAlignment="1">
      <alignment horizontal="right" vertical="center"/>
    </xf>
    <xf numFmtId="164" fontId="3" fillId="0" borderId="34" xfId="3" applyNumberFormat="1" applyFont="1" applyFill="1" applyBorder="1" applyAlignment="1">
      <alignment horizontal="right" vertical="center" wrapText="1"/>
    </xf>
    <xf numFmtId="164" fontId="3" fillId="0" borderId="33" xfId="3" applyNumberFormat="1" applyFont="1" applyFill="1" applyBorder="1" applyAlignment="1">
      <alignment horizontal="right" vertical="center"/>
    </xf>
    <xf numFmtId="164" fontId="3" fillId="0" borderId="34" xfId="3" applyNumberFormat="1" applyFont="1" applyFill="1" applyBorder="1" applyAlignment="1">
      <alignment horizontal="right" vertical="center"/>
    </xf>
    <xf numFmtId="49" fontId="3" fillId="0" borderId="42" xfId="3" applyNumberFormat="1" applyFont="1" applyFill="1" applyBorder="1" applyAlignment="1">
      <alignment horizontal="left" vertical="center" indent="1"/>
    </xf>
    <xf numFmtId="2" fontId="29" fillId="0" borderId="43" xfId="3" applyFont="1" applyFill="1" applyBorder="1" applyAlignment="1">
      <alignment horizontal="left" vertical="center" wrapText="1"/>
    </xf>
    <xf numFmtId="0" fontId="29" fillId="0" borderId="43" xfId="0" applyFont="1" applyFill="1" applyBorder="1" applyAlignment="1">
      <alignment horizontal="center" vertical="center" wrapText="1"/>
    </xf>
    <xf numFmtId="164" fontId="3" fillId="0" borderId="43" xfId="3" applyNumberFormat="1" applyFont="1" applyFill="1" applyBorder="1" applyAlignment="1">
      <alignment horizontal="right" vertical="center"/>
    </xf>
    <xf numFmtId="164" fontId="3" fillId="0" borderId="44" xfId="3" applyNumberFormat="1" applyFont="1" applyFill="1" applyBorder="1" applyAlignment="1">
      <alignment horizontal="right" vertical="center"/>
    </xf>
    <xf numFmtId="4" fontId="3" fillId="0" borderId="36" xfId="3" applyNumberFormat="1" applyFont="1" applyFill="1" applyBorder="1" applyAlignment="1">
      <alignment horizontal="right" vertical="center"/>
    </xf>
    <xf numFmtId="4" fontId="3" fillId="0" borderId="37" xfId="3" applyNumberFormat="1" applyFont="1" applyFill="1" applyBorder="1" applyAlignment="1">
      <alignment horizontal="right" vertical="center"/>
    </xf>
    <xf numFmtId="0" fontId="1" fillId="2" borderId="39" xfId="2" applyFill="1" applyBorder="1" applyAlignment="1" applyProtection="1">
      <alignment horizontal="center"/>
    </xf>
    <xf numFmtId="4" fontId="3" fillId="0" borderId="43" xfId="3" applyNumberFormat="1" applyFont="1" applyFill="1" applyBorder="1" applyAlignment="1">
      <alignment horizontal="right" vertical="center"/>
    </xf>
    <xf numFmtId="4" fontId="3" fillId="0" borderId="44" xfId="3" applyNumberFormat="1" applyFont="1" applyFill="1" applyBorder="1" applyAlignment="1">
      <alignment horizontal="right" vertical="center"/>
    </xf>
    <xf numFmtId="0" fontId="5" fillId="0" borderId="33" xfId="0" applyFont="1" applyFill="1" applyBorder="1" applyAlignment="1">
      <alignment horizontal="center" vertical="center" wrapText="1"/>
    </xf>
    <xf numFmtId="4" fontId="24" fillId="0" borderId="33" xfId="3" applyNumberFormat="1" applyFont="1" applyFill="1" applyBorder="1" applyAlignment="1">
      <alignment horizontal="right" vertical="center"/>
    </xf>
    <xf numFmtId="4" fontId="24" fillId="0" borderId="45" xfId="3" applyNumberFormat="1" applyFont="1" applyFill="1" applyBorder="1" applyAlignment="1">
      <alignment horizontal="right" vertical="center"/>
    </xf>
    <xf numFmtId="4" fontId="3" fillId="0" borderId="33" xfId="0" applyNumberFormat="1" applyFont="1" applyFill="1" applyBorder="1" applyAlignment="1">
      <alignment horizontal="right" vertical="center" wrapText="1"/>
    </xf>
    <xf numFmtId="4" fontId="3" fillId="0" borderId="45" xfId="0" applyNumberFormat="1" applyFont="1" applyFill="1" applyBorder="1" applyAlignment="1">
      <alignment horizontal="right" vertical="center" wrapText="1"/>
    </xf>
    <xf numFmtId="3" fontId="5" fillId="0" borderId="33" xfId="0" applyNumberFormat="1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4" fontId="24" fillId="0" borderId="43" xfId="3" applyNumberFormat="1" applyFont="1" applyFill="1" applyBorder="1" applyAlignment="1">
      <alignment horizontal="right" vertical="center"/>
    </xf>
    <xf numFmtId="4" fontId="24" fillId="0" borderId="47" xfId="3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right" vertical="center" wrapText="1"/>
    </xf>
    <xf numFmtId="4" fontId="3" fillId="0" borderId="48" xfId="0" applyNumberFormat="1" applyFont="1" applyFill="1" applyBorder="1" applyAlignment="1">
      <alignment horizontal="right" vertical="center" wrapText="1"/>
    </xf>
    <xf numFmtId="4" fontId="24" fillId="0" borderId="34" xfId="3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center" vertical="center" wrapText="1"/>
    </xf>
    <xf numFmtId="4" fontId="24" fillId="0" borderId="44" xfId="3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4" fontId="24" fillId="0" borderId="17" xfId="3" applyNumberFormat="1" applyFont="1" applyFill="1" applyBorder="1" applyAlignment="1">
      <alignment horizontal="right" vertical="center"/>
    </xf>
    <xf numFmtId="4" fontId="24" fillId="0" borderId="18" xfId="3" applyNumberFormat="1" applyFont="1" applyFill="1" applyBorder="1" applyAlignment="1">
      <alignment horizontal="right" vertical="center"/>
    </xf>
    <xf numFmtId="2" fontId="29" fillId="0" borderId="49" xfId="3" applyFont="1" applyFill="1" applyBorder="1" applyAlignment="1">
      <alignment horizontal="left" vertical="center" wrapText="1"/>
    </xf>
    <xf numFmtId="0" fontId="29" fillId="0" borderId="49" xfId="0" applyFont="1" applyFill="1" applyBorder="1" applyAlignment="1">
      <alignment horizontal="center" vertical="center" wrapText="1"/>
    </xf>
    <xf numFmtId="4" fontId="3" fillId="0" borderId="49" xfId="3" applyNumberFormat="1" applyFont="1" applyFill="1" applyBorder="1" applyAlignment="1">
      <alignment horizontal="right" vertical="center"/>
    </xf>
    <xf numFmtId="0" fontId="29" fillId="0" borderId="36" xfId="0" applyFont="1" applyFill="1" applyBorder="1" applyAlignment="1">
      <alignment horizontal="center" vertical="center" wrapText="1"/>
    </xf>
    <xf numFmtId="164" fontId="3" fillId="0" borderId="33" xfId="3" applyNumberFormat="1" applyFont="1" applyFill="1" applyBorder="1" applyAlignment="1">
      <alignment horizontal="center" vertical="center"/>
    </xf>
    <xf numFmtId="164" fontId="3" fillId="0" borderId="34" xfId="3" applyNumberFormat="1" applyFont="1" applyFill="1" applyBorder="1" applyAlignment="1">
      <alignment horizontal="center" vertical="center"/>
    </xf>
    <xf numFmtId="3" fontId="5" fillId="0" borderId="33" xfId="3" applyNumberFormat="1" applyFont="1" applyFill="1" applyBorder="1" applyAlignment="1">
      <alignment horizontal="center" vertical="center"/>
    </xf>
    <xf numFmtId="4" fontId="27" fillId="7" borderId="52" xfId="3" applyNumberFormat="1" applyFont="1" applyFill="1" applyBorder="1" applyAlignment="1">
      <alignment horizontal="center" vertical="center"/>
    </xf>
    <xf numFmtId="49" fontId="3" fillId="0" borderId="32" xfId="3" quotePrefix="1" applyNumberFormat="1" applyFont="1" applyFill="1" applyBorder="1" applyAlignment="1">
      <alignment horizontal="left" vertical="center" indent="1"/>
    </xf>
    <xf numFmtId="4" fontId="24" fillId="0" borderId="33" xfId="0" applyNumberFormat="1" applyFont="1" applyFill="1" applyBorder="1" applyAlignment="1">
      <alignment horizontal="right" vertical="center" wrapText="1"/>
    </xf>
    <xf numFmtId="4" fontId="24" fillId="0" borderId="34" xfId="0" applyNumberFormat="1" applyFont="1" applyFill="1" applyBorder="1" applyAlignment="1">
      <alignment horizontal="right" vertical="center" wrapText="1"/>
    </xf>
    <xf numFmtId="49" fontId="3" fillId="0" borderId="28" xfId="3" applyNumberFormat="1" applyFont="1" applyFill="1" applyBorder="1" applyAlignment="1">
      <alignment horizontal="left" vertical="center" indent="1"/>
    </xf>
    <xf numFmtId="2" fontId="29" fillId="0" borderId="29" xfId="3" applyFont="1" applyFill="1" applyBorder="1" applyAlignment="1">
      <alignment horizontal="left" vertical="center" wrapText="1"/>
    </xf>
    <xf numFmtId="0" fontId="29" fillId="0" borderId="29" xfId="0" applyFont="1" applyFill="1" applyBorder="1" applyAlignment="1">
      <alignment horizontal="center" vertical="center" wrapText="1"/>
    </xf>
    <xf numFmtId="4" fontId="3" fillId="0" borderId="29" xfId="3" applyNumberFormat="1" applyFont="1" applyFill="1" applyBorder="1" applyAlignment="1">
      <alignment horizontal="right" vertical="center"/>
    </xf>
    <xf numFmtId="4" fontId="3" fillId="0" borderId="30" xfId="3" applyNumberFormat="1" applyFont="1" applyFill="1" applyBorder="1" applyAlignment="1">
      <alignment horizontal="right" vertical="center"/>
    </xf>
    <xf numFmtId="4" fontId="32" fillId="0" borderId="53" xfId="0" applyNumberFormat="1" applyFont="1" applyFill="1" applyBorder="1" applyAlignment="1">
      <alignment horizontal="right" wrapText="1"/>
    </xf>
    <xf numFmtId="4" fontId="32" fillId="0" borderId="54" xfId="0" applyNumberFormat="1" applyFont="1" applyFill="1" applyBorder="1" applyAlignment="1">
      <alignment horizontal="right" wrapText="1"/>
    </xf>
    <xf numFmtId="49" fontId="3" fillId="8" borderId="32" xfId="3" applyNumberFormat="1" applyFont="1" applyFill="1" applyBorder="1" applyAlignment="1">
      <alignment horizontal="left" vertical="center" indent="1"/>
    </xf>
    <xf numFmtId="4" fontId="3" fillId="8" borderId="33" xfId="3" applyNumberFormat="1" applyFont="1" applyFill="1" applyBorder="1" applyAlignment="1">
      <alignment horizontal="right" vertical="center"/>
    </xf>
    <xf numFmtId="4" fontId="3" fillId="8" borderId="34" xfId="3" applyNumberFormat="1" applyFont="1" applyFill="1" applyBorder="1" applyAlignment="1">
      <alignment horizontal="right" vertical="center"/>
    </xf>
    <xf numFmtId="49" fontId="3" fillId="8" borderId="35" xfId="3" applyNumberFormat="1" applyFont="1" applyFill="1" applyBorder="1" applyAlignment="1">
      <alignment horizontal="left" vertical="center" indent="1"/>
    </xf>
    <xf numFmtId="49" fontId="3" fillId="8" borderId="55" xfId="3" applyNumberFormat="1" applyFont="1" applyFill="1" applyBorder="1" applyAlignment="1">
      <alignment horizontal="left" vertical="center" indent="1"/>
    </xf>
    <xf numFmtId="49" fontId="3" fillId="9" borderId="32" xfId="3" applyNumberFormat="1" applyFont="1" applyFill="1" applyBorder="1" applyAlignment="1">
      <alignment horizontal="left" vertical="center" indent="1"/>
    </xf>
    <xf numFmtId="4" fontId="3" fillId="9" borderId="33" xfId="0" applyNumberFormat="1" applyFont="1" applyFill="1" applyBorder="1" applyAlignment="1">
      <alignment horizontal="right" vertical="center" wrapText="1"/>
    </xf>
    <xf numFmtId="4" fontId="3" fillId="9" borderId="34" xfId="3" applyNumberFormat="1" applyFont="1" applyFill="1" applyBorder="1" applyAlignment="1">
      <alignment horizontal="right" vertical="center"/>
    </xf>
    <xf numFmtId="49" fontId="3" fillId="0" borderId="38" xfId="3" applyNumberFormat="1" applyFont="1" applyFill="1" applyBorder="1" applyAlignment="1">
      <alignment horizontal="left" vertical="center" wrapText="1" indent="1"/>
    </xf>
    <xf numFmtId="49" fontId="3" fillId="0" borderId="15" xfId="3" applyNumberFormat="1" applyFont="1" applyFill="1" applyBorder="1" applyAlignment="1">
      <alignment horizontal="left" vertical="center" wrapText="1" indent="1"/>
    </xf>
    <xf numFmtId="2" fontId="29" fillId="0" borderId="16" xfId="3" applyFont="1" applyFill="1" applyBorder="1" applyAlignment="1">
      <alignment horizontal="left" vertical="center" wrapText="1"/>
    </xf>
    <xf numFmtId="4" fontId="29" fillId="0" borderId="16" xfId="0" applyNumberFormat="1" applyFont="1" applyFill="1" applyBorder="1" applyAlignment="1">
      <alignment horizontal="center" vertical="center" wrapText="1"/>
    </xf>
    <xf numFmtId="3" fontId="29" fillId="0" borderId="16" xfId="0" applyNumberFormat="1" applyFont="1" applyFill="1" applyBorder="1" applyAlignment="1">
      <alignment horizontal="center" vertical="center" wrapText="1"/>
    </xf>
    <xf numFmtId="4" fontId="3" fillId="0" borderId="16" xfId="3" applyNumberFormat="1" applyFont="1" applyFill="1" applyBorder="1" applyAlignment="1">
      <alignment horizontal="right" vertical="center"/>
    </xf>
    <xf numFmtId="4" fontId="3" fillId="0" borderId="56" xfId="3" applyNumberFormat="1" applyFont="1" applyFill="1" applyBorder="1" applyAlignment="1">
      <alignment horizontal="right" vertical="center"/>
    </xf>
    <xf numFmtId="49" fontId="3" fillId="0" borderId="32" xfId="3" applyNumberFormat="1" applyFont="1" applyFill="1" applyBorder="1" applyAlignment="1">
      <alignment horizontal="left" vertical="center" wrapText="1" indent="1"/>
    </xf>
    <xf numFmtId="0" fontId="0" fillId="7" borderId="0" xfId="0" applyFill="1"/>
    <xf numFmtId="4" fontId="27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/>
    </xf>
    <xf numFmtId="49" fontId="3" fillId="7" borderId="0" xfId="0" applyNumberFormat="1" applyFont="1" applyFill="1" applyAlignment="1">
      <alignment horizontal="left" vertical="center" indent="1"/>
    </xf>
    <xf numFmtId="4" fontId="27" fillId="7" borderId="57" xfId="3" applyNumberFormat="1" applyFont="1" applyFill="1" applyBorder="1" applyAlignment="1">
      <alignment horizontal="center" vertical="center"/>
    </xf>
    <xf numFmtId="164" fontId="3" fillId="7" borderId="18" xfId="3" applyNumberFormat="1" applyFont="1" applyFill="1" applyBorder="1" applyAlignment="1">
      <alignment horizontal="center" vertical="center" wrapText="1"/>
    </xf>
    <xf numFmtId="0" fontId="29" fillId="7" borderId="17" xfId="0" applyFont="1" applyFill="1" applyBorder="1" applyAlignment="1">
      <alignment horizontal="center" vertical="center" wrapText="1"/>
    </xf>
    <xf numFmtId="2" fontId="29" fillId="7" borderId="17" xfId="3" applyFont="1" applyFill="1" applyBorder="1" applyAlignment="1">
      <alignment horizontal="left" vertical="center" wrapText="1"/>
    </xf>
    <xf numFmtId="49" fontId="3" fillId="7" borderId="58" xfId="3" applyNumberFormat="1" applyFont="1" applyFill="1" applyBorder="1" applyAlignment="1">
      <alignment horizontal="left" vertical="center" indent="1"/>
    </xf>
    <xf numFmtId="49" fontId="3" fillId="7" borderId="38" xfId="3" applyNumberFormat="1" applyFont="1" applyFill="1" applyBorder="1" applyAlignment="1">
      <alignment horizontal="left" vertical="center" indent="1"/>
    </xf>
    <xf numFmtId="0" fontId="24" fillId="7" borderId="29" xfId="0" applyFont="1" applyFill="1" applyBorder="1" applyAlignment="1">
      <alignment horizontal="center" vertical="center" wrapText="1"/>
    </xf>
    <xf numFmtId="0" fontId="26" fillId="7" borderId="29" xfId="0" applyFont="1" applyFill="1" applyBorder="1" applyAlignment="1">
      <alignment horizontal="center" vertical="center" wrapText="1"/>
    </xf>
    <xf numFmtId="0" fontId="26" fillId="7" borderId="63" xfId="0" applyFont="1" applyFill="1" applyBorder="1" applyAlignment="1">
      <alignment horizontal="center" vertical="center" wrapText="1"/>
    </xf>
    <xf numFmtId="0" fontId="26" fillId="7" borderId="28" xfId="0" applyFont="1" applyFill="1" applyBorder="1" applyAlignment="1">
      <alignment horizontal="center" vertical="center" wrapText="1"/>
    </xf>
    <xf numFmtId="4" fontId="3" fillId="10" borderId="34" xfId="3" applyNumberFormat="1" applyFont="1" applyFill="1" applyBorder="1" applyAlignment="1">
      <alignment horizontal="right" vertical="center"/>
    </xf>
    <xf numFmtId="0" fontId="29" fillId="7" borderId="33" xfId="0" applyFont="1" applyFill="1" applyBorder="1" applyAlignment="1">
      <alignment horizontal="center" vertical="center" wrapText="1"/>
    </xf>
    <xf numFmtId="2" fontId="29" fillId="7" borderId="33" xfId="3" applyFont="1" applyFill="1" applyBorder="1" applyAlignment="1">
      <alignment horizontal="left" vertical="center" wrapText="1"/>
    </xf>
    <xf numFmtId="49" fontId="3" fillId="7" borderId="41" xfId="3" applyNumberFormat="1" applyFont="1" applyFill="1" applyBorder="1" applyAlignment="1">
      <alignment horizontal="left" vertical="center" indent="1"/>
    </xf>
    <xf numFmtId="49" fontId="3" fillId="7" borderId="32" xfId="3" applyNumberFormat="1" applyFont="1" applyFill="1" applyBorder="1" applyAlignment="1">
      <alignment horizontal="left" vertical="center" indent="1"/>
    </xf>
    <xf numFmtId="0" fontId="22" fillId="7" borderId="65" xfId="0" applyFont="1" applyFill="1" applyBorder="1" applyAlignment="1">
      <alignment horizontal="center" vertical="center" wrapText="1"/>
    </xf>
    <xf numFmtId="0" fontId="22" fillId="7" borderId="66" xfId="0" applyFont="1" applyFill="1" applyBorder="1" applyAlignment="1">
      <alignment horizontal="center" vertical="center" wrapText="1"/>
    </xf>
    <xf numFmtId="0" fontId="0" fillId="0" borderId="0" xfId="0" applyFill="1"/>
    <xf numFmtId="0" fontId="31" fillId="7" borderId="0" xfId="0" applyFont="1" applyFill="1"/>
    <xf numFmtId="0" fontId="5" fillId="7" borderId="0" xfId="0" applyFont="1" applyFill="1"/>
    <xf numFmtId="49" fontId="3" fillId="0" borderId="58" xfId="3" applyNumberFormat="1" applyFont="1" applyFill="1" applyBorder="1" applyAlignment="1">
      <alignment horizontal="left" vertical="center" indent="1"/>
    </xf>
    <xf numFmtId="49" fontId="3" fillId="0" borderId="67" xfId="3" applyNumberFormat="1" applyFont="1" applyFill="1" applyBorder="1" applyAlignment="1">
      <alignment horizontal="left" vertical="center" indent="1"/>
    </xf>
    <xf numFmtId="2" fontId="29" fillId="0" borderId="68" xfId="3" applyFont="1" applyFill="1" applyBorder="1" applyAlignment="1">
      <alignment horizontal="left" vertical="center" wrapText="1"/>
    </xf>
    <xf numFmtId="49" fontId="3" fillId="0" borderId="69" xfId="3" applyNumberFormat="1" applyFont="1" applyFill="1" applyBorder="1" applyAlignment="1">
      <alignment horizontal="left" vertical="center" indent="1"/>
    </xf>
    <xf numFmtId="0" fontId="29" fillId="0" borderId="70" xfId="0" applyFont="1" applyFill="1" applyBorder="1" applyAlignment="1">
      <alignment horizontal="center" vertical="center" wrapText="1"/>
    </xf>
    <xf numFmtId="2" fontId="29" fillId="0" borderId="70" xfId="3" applyFont="1" applyFill="1" applyBorder="1" applyAlignment="1">
      <alignment horizontal="left" vertical="center" wrapText="1"/>
    </xf>
    <xf numFmtId="49" fontId="3" fillId="0" borderId="71" xfId="3" applyNumberFormat="1" applyFont="1" applyFill="1" applyBorder="1" applyAlignment="1">
      <alignment horizontal="left" vertical="center" indent="1"/>
    </xf>
    <xf numFmtId="49" fontId="3" fillId="0" borderId="72" xfId="3" applyNumberFormat="1" applyFont="1" applyFill="1" applyBorder="1" applyAlignment="1">
      <alignment horizontal="left" vertical="center" indent="1"/>
    </xf>
    <xf numFmtId="49" fontId="3" fillId="0" borderId="41" xfId="3" applyNumberFormat="1" applyFont="1" applyFill="1" applyBorder="1" applyAlignment="1">
      <alignment horizontal="left" vertical="center" indent="1"/>
    </xf>
    <xf numFmtId="0" fontId="18" fillId="0" borderId="0" xfId="4"/>
    <xf numFmtId="0" fontId="18" fillId="0" borderId="0" xfId="5"/>
    <xf numFmtId="0" fontId="18" fillId="7" borderId="0" xfId="4" applyFill="1"/>
    <xf numFmtId="164" fontId="24" fillId="0" borderId="17" xfId="3" applyNumberFormat="1" applyFont="1" applyFill="1" applyBorder="1" applyAlignment="1">
      <alignment horizontal="center" vertical="center" wrapText="1"/>
    </xf>
    <xf numFmtId="0" fontId="18" fillId="0" borderId="0" xfId="4" applyFill="1"/>
    <xf numFmtId="164" fontId="24" fillId="0" borderId="33" xfId="3" applyNumberFormat="1" applyFont="1" applyFill="1" applyBorder="1" applyAlignment="1">
      <alignment horizontal="center" vertical="center"/>
    </xf>
    <xf numFmtId="164" fontId="24" fillId="7" borderId="33" xfId="3" applyNumberFormat="1" applyFont="1" applyFill="1" applyBorder="1" applyAlignment="1">
      <alignment horizontal="center" vertical="center"/>
    </xf>
    <xf numFmtId="0" fontId="22" fillId="11" borderId="15" xfId="0" applyFont="1" applyFill="1" applyBorder="1" applyAlignment="1">
      <alignment horizontal="center" vertical="center" wrapText="1"/>
    </xf>
    <xf numFmtId="0" fontId="22" fillId="12" borderId="78" xfId="0" applyFont="1" applyFill="1" applyBorder="1" applyAlignment="1">
      <alignment horizontal="center" vertical="center" wrapText="1"/>
    </xf>
    <xf numFmtId="0" fontId="22" fillId="13" borderId="81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 wrapText="1"/>
    </xf>
    <xf numFmtId="0" fontId="22" fillId="0" borderId="66" xfId="0" applyFont="1" applyFill="1" applyBorder="1" applyAlignment="1">
      <alignment horizontal="center" vertical="center" wrapText="1"/>
    </xf>
    <xf numFmtId="4" fontId="3" fillId="10" borderId="33" xfId="3" applyNumberFormat="1" applyFont="1" applyFill="1" applyBorder="1" applyAlignment="1">
      <alignment horizontal="right" vertical="center"/>
    </xf>
    <xf numFmtId="0" fontId="34" fillId="0" borderId="82" xfId="0" applyFont="1" applyFill="1" applyBorder="1" applyAlignment="1">
      <alignment horizontal="center" vertical="center" wrapText="1"/>
    </xf>
    <xf numFmtId="0" fontId="33" fillId="0" borderId="82" xfId="0" applyFont="1" applyFill="1" applyBorder="1" applyAlignment="1">
      <alignment horizontal="center" vertical="center"/>
    </xf>
    <xf numFmtId="4" fontId="36" fillId="0" borderId="82" xfId="0" applyNumberFormat="1" applyFont="1" applyFill="1" applyBorder="1" applyAlignment="1">
      <alignment horizontal="center" vertical="center" wrapText="1"/>
    </xf>
    <xf numFmtId="0" fontId="37" fillId="0" borderId="86" xfId="0" applyFont="1" applyFill="1" applyBorder="1" applyAlignment="1">
      <alignment horizontal="center"/>
    </xf>
    <xf numFmtId="0" fontId="0" fillId="0" borderId="87" xfId="0" applyFill="1" applyBorder="1"/>
    <xf numFmtId="0" fontId="0" fillId="0" borderId="88" xfId="0" applyFill="1" applyBorder="1"/>
    <xf numFmtId="0" fontId="0" fillId="0" borderId="89" xfId="0" applyFill="1" applyBorder="1"/>
    <xf numFmtId="0" fontId="25" fillId="0" borderId="90" xfId="0" applyFont="1" applyFill="1" applyBorder="1" applyAlignment="1">
      <alignment horizontal="center"/>
    </xf>
    <xf numFmtId="4" fontId="38" fillId="0" borderId="90" xfId="0" applyNumberFormat="1" applyFont="1" applyFill="1" applyBorder="1" applyAlignment="1">
      <alignment horizontal="center"/>
    </xf>
    <xf numFmtId="4" fontId="38" fillId="0" borderId="91" xfId="0" applyNumberFormat="1" applyFont="1" applyFill="1" applyBorder="1" applyAlignment="1">
      <alignment horizontal="center"/>
    </xf>
    <xf numFmtId="0" fontId="37" fillId="0" borderId="92" xfId="0" applyFont="1" applyFill="1" applyBorder="1" applyAlignment="1">
      <alignment horizontal="center"/>
    </xf>
    <xf numFmtId="3" fontId="39" fillId="0" borderId="93" xfId="0" applyNumberFormat="1" applyFont="1" applyFill="1" applyBorder="1" applyAlignment="1">
      <alignment horizontal="center" vertical="center"/>
    </xf>
    <xf numFmtId="0" fontId="40" fillId="0" borderId="91" xfId="0" applyFont="1" applyFill="1" applyBorder="1" applyAlignment="1">
      <alignment horizontal="left" indent="1"/>
    </xf>
    <xf numFmtId="0" fontId="2" fillId="0" borderId="93" xfId="0" applyFont="1" applyFill="1" applyBorder="1" applyAlignment="1">
      <alignment horizontal="left"/>
    </xf>
    <xf numFmtId="0" fontId="2" fillId="0" borderId="97" xfId="0" applyFont="1" applyFill="1" applyBorder="1" applyAlignment="1">
      <alignment horizontal="left"/>
    </xf>
    <xf numFmtId="0" fontId="2" fillId="0" borderId="98" xfId="0" applyFont="1" applyFill="1" applyBorder="1" applyAlignment="1">
      <alignment horizontal="left"/>
    </xf>
    <xf numFmtId="0" fontId="37" fillId="0" borderId="99" xfId="0" applyFont="1" applyFill="1" applyBorder="1" applyAlignment="1">
      <alignment horizontal="center"/>
    </xf>
    <xf numFmtId="0" fontId="0" fillId="0" borderId="64" xfId="0" applyFill="1" applyBorder="1"/>
    <xf numFmtId="0" fontId="0" fillId="0" borderId="0" xfId="0" applyFill="1" applyBorder="1"/>
    <xf numFmtId="4" fontId="41" fillId="0" borderId="100" xfId="0" applyNumberFormat="1" applyFont="1" applyFill="1" applyBorder="1" applyAlignment="1">
      <alignment horizontal="center" vertical="center"/>
    </xf>
    <xf numFmtId="0" fontId="2" fillId="0" borderId="10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00" xfId="0" applyFont="1" applyFill="1" applyBorder="1" applyAlignment="1">
      <alignment horizontal="left"/>
    </xf>
    <xf numFmtId="0" fontId="0" fillId="0" borderId="100" xfId="0" applyFill="1" applyBorder="1"/>
    <xf numFmtId="0" fontId="2" fillId="0" borderId="102" xfId="0" applyFont="1" applyFill="1" applyBorder="1" applyAlignment="1">
      <alignment horizontal="left"/>
    </xf>
    <xf numFmtId="0" fontId="2" fillId="0" borderId="103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0" fillId="0" borderId="74" xfId="0" applyFill="1" applyBorder="1"/>
    <xf numFmtId="0" fontId="0" fillId="0" borderId="104" xfId="0" applyFill="1" applyBorder="1"/>
    <xf numFmtId="0" fontId="0" fillId="0" borderId="9" xfId="0" applyFill="1" applyBorder="1"/>
    <xf numFmtId="4" fontId="0" fillId="0" borderId="0" xfId="0" applyNumberFormat="1" applyFill="1"/>
    <xf numFmtId="0" fontId="1" fillId="0" borderId="0" xfId="1" applyFill="1" applyAlignment="1" applyProtection="1">
      <alignment vertical="center"/>
    </xf>
    <xf numFmtId="0" fontId="19" fillId="3" borderId="0" xfId="1" applyFont="1" applyFill="1" applyBorder="1" applyAlignment="1" applyProtection="1">
      <alignment horizontal="center" vertical="center"/>
    </xf>
    <xf numFmtId="0" fontId="18" fillId="3" borderId="0" xfId="1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28" fillId="0" borderId="35" xfId="0" applyFont="1" applyFill="1" applyBorder="1" applyAlignment="1">
      <alignment horizontal="left" vertical="center" wrapText="1" indent="1"/>
    </xf>
    <xf numFmtId="0" fontId="28" fillId="0" borderId="36" xfId="0" applyFont="1" applyFill="1" applyBorder="1" applyAlignment="1">
      <alignment horizontal="left" vertical="center" wrapText="1" indent="1"/>
    </xf>
    <xf numFmtId="0" fontId="28" fillId="0" borderId="37" xfId="0" applyFont="1" applyFill="1" applyBorder="1" applyAlignment="1">
      <alignment horizontal="left" vertical="center" wrapText="1" inden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2" fontId="30" fillId="0" borderId="35" xfId="3" applyFont="1" applyFill="1" applyBorder="1" applyAlignment="1">
      <alignment horizontal="center" vertical="center" wrapText="1"/>
    </xf>
    <xf numFmtId="2" fontId="30" fillId="0" borderId="36" xfId="3" applyFont="1" applyFill="1" applyBorder="1" applyAlignment="1">
      <alignment horizontal="center" vertical="center" wrapText="1"/>
    </xf>
    <xf numFmtId="2" fontId="30" fillId="0" borderId="37" xfId="3" applyFont="1" applyFill="1" applyBorder="1" applyAlignment="1">
      <alignment horizontal="center" vertical="center" wrapText="1"/>
    </xf>
    <xf numFmtId="165" fontId="24" fillId="0" borderId="14" xfId="0" applyNumberFormat="1" applyFont="1" applyFill="1" applyBorder="1" applyAlignment="1">
      <alignment horizontal="center" vertical="center" wrapText="1"/>
    </xf>
    <xf numFmtId="165" fontId="23" fillId="0" borderId="19" xfId="0" applyNumberFormat="1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164" fontId="24" fillId="0" borderId="12" xfId="0" applyNumberFormat="1" applyFont="1" applyFill="1" applyBorder="1" applyAlignment="1">
      <alignment horizontal="center" wrapText="1"/>
    </xf>
    <xf numFmtId="164" fontId="24" fillId="0" borderId="13" xfId="0" applyNumberFormat="1" applyFont="1" applyFill="1" applyBorder="1" applyAlignment="1">
      <alignment horizontal="center" vertical="center" wrapText="1"/>
    </xf>
    <xf numFmtId="164" fontId="23" fillId="0" borderId="18" xfId="0" applyNumberFormat="1" applyFont="1" applyFill="1" applyBorder="1" applyAlignment="1">
      <alignment horizontal="center" vertical="center" wrapText="1"/>
    </xf>
    <xf numFmtId="0" fontId="26" fillId="0" borderId="63" xfId="0" applyFont="1" applyFill="1" applyBorder="1" applyAlignment="1">
      <alignment horizontal="center" vertical="center" wrapText="1"/>
    </xf>
    <xf numFmtId="164" fontId="3" fillId="0" borderId="36" xfId="3" applyNumberFormat="1" applyFont="1" applyFill="1" applyBorder="1" applyAlignment="1">
      <alignment horizontal="center" vertical="center" wrapText="1"/>
    </xf>
    <xf numFmtId="164" fontId="3" fillId="0" borderId="41" xfId="3" applyNumberFormat="1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4" fontId="3" fillId="0" borderId="46" xfId="3" applyNumberFormat="1" applyFont="1" applyFill="1" applyBorder="1" applyAlignment="1">
      <alignment horizontal="center" vertical="center"/>
    </xf>
    <xf numFmtId="4" fontId="3" fillId="0" borderId="36" xfId="3" applyNumberFormat="1" applyFont="1" applyFill="1" applyBorder="1" applyAlignment="1">
      <alignment horizontal="center" vertical="center"/>
    </xf>
    <xf numFmtId="4" fontId="3" fillId="0" borderId="37" xfId="3" applyNumberFormat="1" applyFont="1" applyFill="1" applyBorder="1" applyAlignment="1">
      <alignment horizontal="center" vertical="center"/>
    </xf>
    <xf numFmtId="2" fontId="24" fillId="0" borderId="80" xfId="3" applyFont="1" applyFill="1" applyBorder="1" applyAlignment="1">
      <alignment horizontal="left" vertical="center" wrapText="1"/>
    </xf>
    <xf numFmtId="2" fontId="24" fillId="0" borderId="79" xfId="3" applyFont="1" applyFill="1" applyBorder="1" applyAlignment="1">
      <alignment horizontal="left" vertical="center" wrapText="1"/>
    </xf>
    <xf numFmtId="2" fontId="24" fillId="0" borderId="77" xfId="3" applyFont="1" applyFill="1" applyBorder="1" applyAlignment="1">
      <alignment horizontal="left" vertical="center" wrapText="1"/>
    </xf>
    <xf numFmtId="2" fontId="24" fillId="0" borderId="76" xfId="3" applyFont="1" applyFill="1" applyBorder="1" applyAlignment="1">
      <alignment horizontal="left" vertical="center" wrapText="1"/>
    </xf>
    <xf numFmtId="2" fontId="24" fillId="0" borderId="75" xfId="3" applyFont="1" applyFill="1" applyBorder="1" applyAlignment="1">
      <alignment horizontal="left" vertical="center" wrapText="1"/>
    </xf>
    <xf numFmtId="2" fontId="24" fillId="0" borderId="9" xfId="3" applyFont="1" applyFill="1" applyBorder="1" applyAlignment="1">
      <alignment horizontal="left" vertical="center" wrapText="1"/>
    </xf>
    <xf numFmtId="2" fontId="24" fillId="0" borderId="74" xfId="3" applyFont="1" applyFill="1" applyBorder="1" applyAlignment="1">
      <alignment horizontal="left" vertical="center" wrapText="1"/>
    </xf>
    <xf numFmtId="0" fontId="26" fillId="0" borderId="73" xfId="4" applyFont="1" applyFill="1" applyBorder="1" applyAlignment="1">
      <alignment horizontal="center" vertical="center" wrapText="1"/>
    </xf>
    <xf numFmtId="0" fontId="26" fillId="0" borderId="61" xfId="4" applyFont="1" applyFill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4" fontId="3" fillId="6" borderId="46" xfId="3" applyNumberFormat="1" applyFont="1" applyFill="1" applyBorder="1" applyAlignment="1">
      <alignment horizontal="center" vertical="center"/>
    </xf>
    <xf numFmtId="4" fontId="3" fillId="6" borderId="36" xfId="3" applyNumberFormat="1" applyFont="1" applyFill="1" applyBorder="1" applyAlignment="1">
      <alignment horizontal="center" vertical="center"/>
    </xf>
    <xf numFmtId="4" fontId="3" fillId="6" borderId="37" xfId="3" applyNumberFormat="1" applyFont="1" applyFill="1" applyBorder="1" applyAlignment="1">
      <alignment horizontal="center" vertical="center"/>
    </xf>
    <xf numFmtId="0" fontId="0" fillId="10" borderId="64" xfId="0" applyFill="1" applyBorder="1" applyAlignment="1">
      <alignment horizontal="center"/>
    </xf>
    <xf numFmtId="0" fontId="0" fillId="10" borderId="0" xfId="0" applyFill="1" applyAlignment="1">
      <alignment horizontal="center"/>
    </xf>
    <xf numFmtId="164" fontId="1" fillId="7" borderId="59" xfId="1" applyNumberFormat="1" applyFill="1" applyBorder="1" applyAlignment="1" applyProtection="1">
      <alignment horizontal="center" vertical="center" wrapText="1"/>
    </xf>
    <xf numFmtId="164" fontId="1" fillId="7" borderId="58" xfId="1" applyNumberFormat="1" applyFill="1" applyBorder="1" applyAlignment="1" applyProtection="1">
      <alignment horizontal="center" vertical="center" wrapText="1"/>
    </xf>
    <xf numFmtId="0" fontId="0" fillId="10" borderId="64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26" fillId="7" borderId="32" xfId="0" applyFont="1" applyFill="1" applyBorder="1" applyAlignment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0" fontId="26" fillId="7" borderId="33" xfId="0" applyFont="1" applyFill="1" applyBorder="1" applyAlignment="1">
      <alignment horizontal="center" vertical="center" wrapText="1"/>
    </xf>
    <xf numFmtId="0" fontId="26" fillId="7" borderId="34" xfId="0" applyFont="1" applyFill="1" applyBorder="1" applyAlignment="1">
      <alignment horizontal="center" vertical="center" wrapText="1"/>
    </xf>
    <xf numFmtId="164" fontId="3" fillId="7" borderId="46" xfId="3" applyNumberFormat="1" applyFont="1" applyFill="1" applyBorder="1" applyAlignment="1">
      <alignment horizontal="center" vertical="center" wrapText="1"/>
    </xf>
    <xf numFmtId="164" fontId="3" fillId="7" borderId="41" xfId="3" applyNumberFormat="1" applyFont="1" applyFill="1" applyBorder="1" applyAlignment="1">
      <alignment horizontal="center" vertical="center" wrapText="1"/>
    </xf>
    <xf numFmtId="0" fontId="23" fillId="7" borderId="62" xfId="0" applyFont="1" applyFill="1" applyBorder="1" applyAlignment="1">
      <alignment horizontal="center" vertical="center" wrapText="1"/>
    </xf>
    <xf numFmtId="0" fontId="23" fillId="7" borderId="61" xfId="0" applyFont="1" applyFill="1" applyBorder="1" applyAlignment="1">
      <alignment horizontal="center" vertical="center" wrapText="1"/>
    </xf>
    <xf numFmtId="0" fontId="23" fillId="7" borderId="60" xfId="0" applyFont="1" applyFill="1" applyBorder="1" applyAlignment="1">
      <alignment horizontal="center" vertical="center" wrapText="1"/>
    </xf>
    <xf numFmtId="4" fontId="38" fillId="0" borderId="94" xfId="0" applyNumberFormat="1" applyFont="1" applyFill="1" applyBorder="1" applyAlignment="1">
      <alignment horizontal="center"/>
    </xf>
    <xf numFmtId="4" fontId="38" fillId="0" borderId="95" xfId="0" applyNumberFormat="1" applyFont="1" applyFill="1" applyBorder="1" applyAlignment="1">
      <alignment horizontal="center"/>
    </xf>
    <xf numFmtId="4" fontId="38" fillId="0" borderId="96" xfId="0" applyNumberFormat="1" applyFont="1" applyFill="1" applyBorder="1" applyAlignment="1">
      <alignment horizontal="center"/>
    </xf>
    <xf numFmtId="0" fontId="28" fillId="0" borderId="55" xfId="0" applyFont="1" applyFill="1" applyBorder="1" applyAlignment="1">
      <alignment horizontal="left" vertical="center" wrapText="1" indent="1"/>
    </xf>
    <xf numFmtId="0" fontId="28" fillId="0" borderId="84" xfId="0" applyFont="1" applyFill="1" applyBorder="1" applyAlignment="1">
      <alignment horizontal="left" vertical="center" wrapText="1" indent="1"/>
    </xf>
    <xf numFmtId="0" fontId="28" fillId="0" borderId="85" xfId="0" applyFont="1" applyFill="1" applyBorder="1" applyAlignment="1">
      <alignment horizontal="left" vertical="center" wrapText="1" indent="1"/>
    </xf>
    <xf numFmtId="0" fontId="3" fillId="0" borderId="9" xfId="0" applyFont="1" applyFill="1" applyBorder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right" vertical="center"/>
    </xf>
    <xf numFmtId="0" fontId="33" fillId="0" borderId="82" xfId="0" applyFont="1" applyFill="1" applyBorder="1" applyAlignment="1">
      <alignment horizontal="center" vertical="center"/>
    </xf>
    <xf numFmtId="0" fontId="35" fillId="0" borderId="82" xfId="0" applyFont="1" applyFill="1" applyBorder="1" applyAlignment="1">
      <alignment horizontal="center" vertical="center" wrapText="1"/>
    </xf>
    <xf numFmtId="164" fontId="24" fillId="0" borderId="82" xfId="0" applyNumberFormat="1" applyFont="1" applyFill="1" applyBorder="1" applyAlignment="1">
      <alignment horizontal="center" vertical="center" wrapText="1"/>
    </xf>
    <xf numFmtId="4" fontId="36" fillId="0" borderId="82" xfId="0" applyNumberFormat="1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0" fontId="42" fillId="0" borderId="0" xfId="0" applyNumberFormat="1" applyFont="1" applyFill="1" applyBorder="1" applyAlignment="1">
      <alignment vertical="center"/>
    </xf>
    <xf numFmtId="0" fontId="43" fillId="0" borderId="0" xfId="0" applyNumberFormat="1" applyFont="1" applyFill="1" applyBorder="1" applyAlignment="1">
      <alignment horizontal="right" vertical="center"/>
    </xf>
    <xf numFmtId="0" fontId="45" fillId="17" borderId="0" xfId="0" applyNumberFormat="1" applyFont="1" applyFill="1" applyBorder="1" applyAlignment="1">
      <alignment vertical="center"/>
    </xf>
    <xf numFmtId="0" fontId="44" fillId="17" borderId="0" xfId="0" applyNumberFormat="1" applyFont="1" applyFill="1" applyBorder="1" applyAlignment="1">
      <alignment vertical="center"/>
    </xf>
    <xf numFmtId="166" fontId="45" fillId="17" borderId="0" xfId="0" applyNumberFormat="1" applyFont="1" applyFill="1" applyBorder="1" applyAlignment="1">
      <alignment horizontal="right" vertical="center"/>
    </xf>
    <xf numFmtId="0" fontId="50" fillId="17" borderId="107" xfId="0" applyNumberFormat="1" applyFont="1" applyFill="1" applyBorder="1" applyAlignment="1">
      <alignment vertical="center"/>
    </xf>
    <xf numFmtId="0" fontId="49" fillId="17" borderId="107" xfId="0" applyNumberFormat="1" applyFont="1" applyFill="1" applyBorder="1" applyAlignment="1">
      <alignment vertical="center"/>
    </xf>
    <xf numFmtId="166" fontId="50" fillId="17" borderId="107" xfId="0" applyNumberFormat="1" applyFont="1" applyFill="1" applyBorder="1" applyAlignment="1">
      <alignment horizontal="right" vertical="center"/>
    </xf>
    <xf numFmtId="0" fontId="46" fillId="14" borderId="0" xfId="0" applyNumberFormat="1" applyFont="1" applyFill="1" applyBorder="1" applyAlignment="1">
      <alignment horizontal="center" vertical="center" wrapText="1"/>
    </xf>
    <xf numFmtId="0" fontId="47" fillId="15" borderId="0" xfId="0" applyNumberFormat="1" applyFont="1" applyFill="1" applyBorder="1" applyAlignment="1">
      <alignment vertical="bottom"/>
    </xf>
    <xf numFmtId="0" fontId="47" fillId="0" borderId="0" xfId="0" applyNumberFormat="1" applyFont="1" applyFill="1" applyBorder="1" applyAlignment="1">
      <alignment vertical="bottom"/>
    </xf>
    <xf numFmtId="0" fontId="48" fillId="0" borderId="0" xfId="0" applyNumberFormat="1" applyFont="1" applyFill="1" applyBorder="1" applyAlignment="1">
      <alignment vertical="bottom"/>
    </xf>
    <xf numFmtId="0" fontId="52" fillId="0" borderId="0" xfId="0" applyNumberFormat="1" applyFont="1" applyFill="1" applyBorder="1" applyAlignment="1">
      <alignment vertical="top" wrapText="1"/>
    </xf>
    <xf numFmtId="0" fontId="45" fillId="0" borderId="106" xfId="0" applyNumberFormat="1" applyFont="1" applyFill="1" applyBorder="1"/>
    <xf numFmtId="0" fontId="44" fillId="0" borderId="106" xfId="0" applyNumberFormat="1" applyFont="1" applyFill="1" applyBorder="1"/>
    <xf numFmtId="0" fontId="51" fillId="0" borderId="106" xfId="0" applyNumberFormat="1" applyFont="1" applyFill="1" applyBorder="1" applyAlignment="1">
      <alignment horizontal="center"/>
    </xf>
    <xf numFmtId="0" fontId="45" fillId="16" borderId="105" xfId="0" applyNumberFormat="1" applyFont="1" applyFill="1" applyBorder="1" applyAlignment="1">
      <alignment horizontal="center"/>
    </xf>
    <xf numFmtId="166" fontId="45" fillId="0" borderId="106" xfId="0" applyNumberFormat="1" applyFont="1" applyFill="1" applyBorder="1" applyAlignment="1">
      <alignment horizontal="right"/>
    </xf>
    <xf numFmtId="166" fontId="44" fillId="0" borderId="106" xfId="0" applyNumberFormat="1" applyFont="1" applyFill="1" applyBorder="1" applyAlignment="1">
      <alignment horizontal="right"/>
    </xf>
    <xf numFmtId="0" fontId="44" fillId="0" borderId="0" xfId="0" applyNumberFormat="1" applyFont="1" applyFill="1" applyBorder="1"/>
    <xf numFmtId="0" fontId="55" fillId="0" borderId="0" xfId="0" applyNumberFormat="1" applyFont="1" applyFill="1" applyBorder="1"/>
    <xf numFmtId="0" fontId="54" fillId="14" borderId="0" xfId="0" applyNumberFormat="1" applyFont="1" applyFill="1" applyBorder="1" applyAlignment="1">
      <alignment vertical="center"/>
    </xf>
    <xf numFmtId="166" fontId="54" fillId="14" borderId="0" xfId="0" applyNumberFormat="1" applyFont="1" applyFill="1" applyBorder="1" applyAlignment="1">
      <alignment horizontal="right" vertical="center"/>
    </xf>
    <xf numFmtId="0" fontId="45" fillId="0" borderId="0" xfId="0" applyNumberFormat="1" applyFont="1" applyFill="1" applyBorder="1"/>
    <xf numFmtId="0" fontId="44" fillId="0" borderId="0" xfId="0" applyNumberFormat="1" applyFont="1" applyFill="1" applyBorder="1"/>
    <xf numFmtId="0" fontId="45" fillId="0" borderId="0" xfId="0" applyNumberFormat="1" applyFont="1" applyFill="1" applyBorder="1" applyAlignment="1">
      <alignment horizontal="center"/>
    </xf>
    <xf numFmtId="0" fontId="51" fillId="0" borderId="0" xfId="0" applyNumberFormat="1" applyFont="1" applyFill="1" applyBorder="1" applyAlignment="1">
      <alignment horizontal="center"/>
    </xf>
    <xf numFmtId="166" fontId="45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Border="1" applyAlignment="1">
      <alignment horizontal="right"/>
    </xf>
    <xf numFmtId="0" fontId="52" fillId="0" borderId="0" xfId="0" applyNumberFormat="1" applyFont="1" applyFill="1" applyBorder="1" applyAlignment="1">
      <alignment vertical="center"/>
    </xf>
    <xf numFmtId="0" fontId="53" fillId="0" borderId="0" xfId="0" applyNumberFormat="1" applyFont="1" applyFill="1" applyBorder="1" applyAlignment="1">
      <alignment vertic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_Прайс+наличие на 06.06.2016" xfId="5"/>
    <cellStyle name="Обычный_Прайс+наличие на 18.04.2016" xfId="4"/>
    <cellStyle name="Обычный_прайс-стас" xfId="3"/>
  </cellStyles>
  <dxfs count="297">
    <dxf>
      <font>
        <color rgb="FF9C0006"/>
      </font>
      <numFmt numFmtId="4" formatCode="#,##0.00"/>
      <fill>
        <patternFill>
          <bgColor theme="9" tint="0.79998168889431442"/>
        </patternFill>
      </fill>
    </dxf>
    <dxf>
      <font>
        <color rgb="FF9C0006"/>
      </font>
      <fill>
        <patternFill>
          <bgColor theme="6" tint="0.79998168889431442"/>
        </patternFill>
      </fill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condense val="0"/>
        <extend val="0"/>
        <color indexed="22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condense val="0"/>
        <extend val="0"/>
        <color indexed="22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/>
        <color rgb="FFC00000"/>
      </font>
    </dxf>
    <dxf>
      <fill>
        <patternFill patternType="solid">
          <bgColor rgb="FFE2EFDA"/>
        </patternFill>
      </fill>
    </dxf>
    <dxf>
      <font>
        <b val="0"/>
        <color rgb="FF8C8C8C"/>
      </font>
    </dxf>
    <dxf>
      <fill>
        <patternFill patternType="solid">
          <bgColor rgb="FFF0F0F0"/>
        </patternFill>
      </fill>
    </dxf>
    <dxf>
      <font>
        <b/>
        <color rgb="FFC00000"/>
      </font>
      <fill>
        <patternFill patternType="solid">
          <bgColor rgb="FFF0F0F0"/>
        </patternFill>
      </fill>
    </dxf>
    <dxf>
      <font>
        <b val="0"/>
        <color rgb="FF8C8C8C"/>
      </font>
      <fill>
        <patternFill patternType="solid">
          <bgColor rgb="FFF0F0F0"/>
        </patternFill>
      </fill>
    </dxf>
    <dxf>
      <font>
        <b/>
        <color rgb="FFC00000"/>
      </font>
      <fill>
        <patternFill patternType="solid">
          <bgColor rgb="FFE2EFDA"/>
        </patternFill>
      </fill>
    </dxf>
    <dxf>
      <font>
        <b val="0"/>
        <color rgb="FF8C8C8C"/>
      </font>
      <fill>
        <patternFill patternType="solid">
          <bgColor rgb="FFE2EFDA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3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emf"/><Relationship Id="rId12" Type="http://schemas.openxmlformats.org/officeDocument/2006/relationships/image" Target="../media/image22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11" Type="http://schemas.openxmlformats.org/officeDocument/2006/relationships/image" Target="../media/image21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571501</xdr:colOff>
      <xdr:row>4</xdr:row>
      <xdr:rowOff>47625</xdr:rowOff>
    </xdr:from>
    <xdr:ext cx="1375664" cy="1281176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38B7952-17FF-4398-A146-93FE1AEE5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1" y="695325"/>
          <a:ext cx="1375664" cy="1281176"/>
        </a:xfrm>
        <a:prstGeom prst="rect">
          <a:avLst/>
        </a:prstGeom>
      </xdr:spPr>
    </xdr:pic>
    <xdr:clientData/>
  </xdr:oneCellAnchor>
  <xdr:oneCellAnchor>
    <xdr:from>
      <xdr:col>1</xdr:col>
      <xdr:colOff>738189</xdr:colOff>
      <xdr:row>5</xdr:row>
      <xdr:rowOff>47625</xdr:rowOff>
    </xdr:from>
    <xdr:ext cx="893445" cy="676910"/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79018D05-8D95-49FD-98F9-040FF838D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439" y="857250"/>
          <a:ext cx="893445" cy="676910"/>
        </a:xfrm>
        <a:prstGeom prst="rect">
          <a:avLst/>
        </a:prstGeom>
      </xdr:spPr>
    </xdr:pic>
    <xdr:clientData/>
  </xdr:oneCellAnchor>
  <xdr:oneCellAnchor>
    <xdr:from>
      <xdr:col>1</xdr:col>
      <xdr:colOff>773907</xdr:colOff>
      <xdr:row>6</xdr:row>
      <xdr:rowOff>47626</xdr:rowOff>
    </xdr:from>
    <xdr:ext cx="732790" cy="687705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348D5D0E-13CD-4947-A91A-00FB08D1A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582" y="1019176"/>
          <a:ext cx="732790" cy="687705"/>
        </a:xfrm>
        <a:prstGeom prst="rect">
          <a:avLst/>
        </a:prstGeom>
      </xdr:spPr>
    </xdr:pic>
    <xdr:clientData/>
  </xdr:oneCellAnchor>
  <xdr:oneCellAnchor>
    <xdr:from>
      <xdr:col>1</xdr:col>
      <xdr:colOff>833438</xdr:colOff>
      <xdr:row>7</xdr:row>
      <xdr:rowOff>83343</xdr:rowOff>
    </xdr:from>
    <xdr:ext cx="787173" cy="716017"/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41930BE8-7E32-4E49-BD7C-082176D8E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438" y="1216818"/>
          <a:ext cx="787173" cy="716017"/>
        </a:xfrm>
        <a:prstGeom prst="rect">
          <a:avLst/>
        </a:prstGeom>
      </xdr:spPr>
    </xdr:pic>
    <xdr:clientData/>
  </xdr:oneCellAnchor>
  <xdr:oneCellAnchor>
    <xdr:from>
      <xdr:col>1</xdr:col>
      <xdr:colOff>642937</xdr:colOff>
      <xdr:row>8</xdr:row>
      <xdr:rowOff>71438</xdr:rowOff>
    </xdr:from>
    <xdr:ext cx="928116" cy="992124"/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F8BFC25-DC6A-4B93-9FD4-BAD2ED608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" y="1366838"/>
          <a:ext cx="928116" cy="992124"/>
        </a:xfrm>
        <a:prstGeom prst="rect">
          <a:avLst/>
        </a:prstGeom>
      </xdr:spPr>
    </xdr:pic>
    <xdr:clientData/>
  </xdr:oneCellAnchor>
  <xdr:oneCellAnchor>
    <xdr:from>
      <xdr:col>1</xdr:col>
      <xdr:colOff>690562</xdr:colOff>
      <xdr:row>9</xdr:row>
      <xdr:rowOff>23812</xdr:rowOff>
    </xdr:from>
    <xdr:ext cx="818222" cy="699516"/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C51FB373-CC37-46E3-A388-28AA7B861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" y="1481137"/>
          <a:ext cx="818222" cy="699516"/>
        </a:xfrm>
        <a:prstGeom prst="rect">
          <a:avLst/>
        </a:prstGeom>
      </xdr:spPr>
    </xdr:pic>
    <xdr:clientData/>
  </xdr:oneCellAnchor>
  <xdr:oneCellAnchor>
    <xdr:from>
      <xdr:col>1</xdr:col>
      <xdr:colOff>916782</xdr:colOff>
      <xdr:row>10</xdr:row>
      <xdr:rowOff>119062</xdr:rowOff>
    </xdr:from>
    <xdr:ext cx="319674" cy="633496"/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9AF13CF1-A858-441E-ACE2-12A392E9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582" y="1738312"/>
          <a:ext cx="319674" cy="633496"/>
        </a:xfrm>
        <a:prstGeom prst="rect">
          <a:avLst/>
        </a:prstGeom>
      </xdr:spPr>
    </xdr:pic>
    <xdr:clientData/>
  </xdr:oneCellAnchor>
  <xdr:oneCellAnchor>
    <xdr:from>
      <xdr:col>1</xdr:col>
      <xdr:colOff>821532</xdr:colOff>
      <xdr:row>13</xdr:row>
      <xdr:rowOff>53163</xdr:rowOff>
    </xdr:from>
    <xdr:ext cx="657820" cy="673118"/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1F6A6AC0-C290-47B7-AA2D-3D59741F5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1582" y="2158188"/>
          <a:ext cx="657820" cy="673118"/>
        </a:xfrm>
        <a:prstGeom prst="rect">
          <a:avLst/>
        </a:prstGeom>
      </xdr:spPr>
    </xdr:pic>
    <xdr:clientData/>
  </xdr:oneCellAnchor>
  <xdr:oneCellAnchor>
    <xdr:from>
      <xdr:col>1</xdr:col>
      <xdr:colOff>71952</xdr:colOff>
      <xdr:row>12</xdr:row>
      <xdr:rowOff>190500</xdr:rowOff>
    </xdr:from>
    <xdr:ext cx="2230815" cy="345281"/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B70C60DA-5002-4FB9-A09B-9087C6AE9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1552" y="2105025"/>
          <a:ext cx="2230815" cy="345281"/>
        </a:xfrm>
        <a:prstGeom prst="rect">
          <a:avLst/>
        </a:prstGeom>
      </xdr:spPr>
    </xdr:pic>
    <xdr:clientData/>
  </xdr:oneCellAnchor>
  <xdr:oneCellAnchor>
    <xdr:from>
      <xdr:col>1</xdr:col>
      <xdr:colOff>547743</xdr:colOff>
      <xdr:row>11</xdr:row>
      <xdr:rowOff>83344</xdr:rowOff>
    </xdr:from>
    <xdr:ext cx="1079837" cy="684000"/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A63A9B46-8921-426C-AB20-C80B89F8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343" y="1864519"/>
          <a:ext cx="1079837" cy="684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7</xdr:row>
      <xdr:rowOff>266700</xdr:rowOff>
    </xdr:from>
    <xdr:ext cx="1343025" cy="447675"/>
    <xdr:pic>
      <xdr:nvPicPr>
        <xdr:cNvPr id="2" name="Picture 1" descr="AQM21">
          <a:extLst>
            <a:ext uri="{FF2B5EF4-FFF2-40B4-BE49-F238E27FC236}">
              <a16:creationId xmlns:a16="http://schemas.microsoft.com/office/drawing/2014/main" xmlns="" id="{287D5B17-D6BB-447F-8D7D-4184CE7E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295400"/>
          <a:ext cx="13430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361950</xdr:colOff>
      <xdr:row>8</xdr:row>
      <xdr:rowOff>228600</xdr:rowOff>
    </xdr:from>
    <xdr:ext cx="1371600" cy="400050"/>
    <xdr:pic>
      <xdr:nvPicPr>
        <xdr:cNvPr id="3" name="Picture 2" descr="AQM22">
          <a:extLst>
            <a:ext uri="{FF2B5EF4-FFF2-40B4-BE49-F238E27FC236}">
              <a16:creationId xmlns:a16="http://schemas.microsoft.com/office/drawing/2014/main" xmlns="" id="{DD4A5EB5-8AC6-4BC3-A279-451A5A75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457325"/>
          <a:ext cx="13716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600075</xdr:colOff>
      <xdr:row>9</xdr:row>
      <xdr:rowOff>85725</xdr:rowOff>
    </xdr:from>
    <xdr:ext cx="828675" cy="1209675"/>
    <xdr:pic>
      <xdr:nvPicPr>
        <xdr:cNvPr id="4" name="Picture 3" descr="AQM25B_3">
          <a:extLst>
            <a:ext uri="{FF2B5EF4-FFF2-40B4-BE49-F238E27FC236}">
              <a16:creationId xmlns:a16="http://schemas.microsoft.com/office/drawing/2014/main" xmlns="" id="{D3302649-2D95-451B-AA33-C8EAF003A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543050"/>
          <a:ext cx="828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514350</xdr:colOff>
      <xdr:row>10</xdr:row>
      <xdr:rowOff>152400</xdr:rowOff>
    </xdr:from>
    <xdr:ext cx="914400" cy="838200"/>
    <xdr:pic>
      <xdr:nvPicPr>
        <xdr:cNvPr id="5" name="Picture 11" descr="6n0947563">
          <a:extLst>
            <a:ext uri="{FF2B5EF4-FFF2-40B4-BE49-F238E27FC236}">
              <a16:creationId xmlns:a16="http://schemas.microsoft.com/office/drawing/2014/main" xmlns="" id="{86C4D76F-48A5-4000-A856-9FDD017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77165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561975</xdr:colOff>
      <xdr:row>11</xdr:row>
      <xdr:rowOff>95250</xdr:rowOff>
    </xdr:from>
    <xdr:ext cx="904875" cy="771525"/>
    <xdr:pic>
      <xdr:nvPicPr>
        <xdr:cNvPr id="6" name="Picture 8" descr="WH-3P-F (f)">
          <a:extLst>
            <a:ext uri="{FF2B5EF4-FFF2-40B4-BE49-F238E27FC236}">
              <a16:creationId xmlns:a16="http://schemas.microsoft.com/office/drawing/2014/main" xmlns="" id="{4A8F5B33-2171-4254-B601-F174F42C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876425"/>
          <a:ext cx="9048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13</xdr:row>
      <xdr:rowOff>171450</xdr:rowOff>
    </xdr:from>
    <xdr:ext cx="1057275" cy="857250"/>
    <xdr:pic>
      <xdr:nvPicPr>
        <xdr:cNvPr id="7" name="Picture 5" descr="AQM30B">
          <a:extLst>
            <a:ext uri="{FF2B5EF4-FFF2-40B4-BE49-F238E27FC236}">
              <a16:creationId xmlns:a16="http://schemas.microsoft.com/office/drawing/2014/main" xmlns="" id="{984ECF3C-7D0E-4333-9BA4-567746FF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266950"/>
          <a:ext cx="10572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323850</xdr:colOff>
      <xdr:row>14</xdr:row>
      <xdr:rowOff>114300</xdr:rowOff>
    </xdr:from>
    <xdr:ext cx="1333500" cy="752475"/>
    <xdr:pic>
      <xdr:nvPicPr>
        <xdr:cNvPr id="8" name="Picture 6">
          <a:extLst>
            <a:ext uri="{FF2B5EF4-FFF2-40B4-BE49-F238E27FC236}">
              <a16:creationId xmlns:a16="http://schemas.microsoft.com/office/drawing/2014/main" xmlns="" id="{0DDF59A4-2F19-4D18-BFB5-314D4981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381250"/>
          <a:ext cx="1333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695325</xdr:colOff>
      <xdr:row>15</xdr:row>
      <xdr:rowOff>142875</xdr:rowOff>
    </xdr:from>
    <xdr:ext cx="533400" cy="647700"/>
    <xdr:pic>
      <xdr:nvPicPr>
        <xdr:cNvPr id="9" name="Picture 7" descr="aqm 40">
          <a:extLst>
            <a:ext uri="{FF2B5EF4-FFF2-40B4-BE49-F238E27FC236}">
              <a16:creationId xmlns:a16="http://schemas.microsoft.com/office/drawing/2014/main" xmlns="" id="{F42D78FC-3CD1-485F-BD9A-9E853BB7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2571750"/>
          <a:ext cx="533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571500</xdr:colOff>
      <xdr:row>16</xdr:row>
      <xdr:rowOff>57150</xdr:rowOff>
    </xdr:from>
    <xdr:ext cx="933450" cy="1304925"/>
    <xdr:pic>
      <xdr:nvPicPr>
        <xdr:cNvPr id="10" name="Picture 1996" descr="AQM 54">
          <a:extLst>
            <a:ext uri="{FF2B5EF4-FFF2-40B4-BE49-F238E27FC236}">
              <a16:creationId xmlns:a16="http://schemas.microsoft.com/office/drawing/2014/main" xmlns="" id="{9450A072-DEA3-437D-A4B4-6B4B88F1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2647950"/>
          <a:ext cx="93345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12</xdr:row>
      <xdr:rowOff>219075</xdr:rowOff>
    </xdr:from>
    <xdr:ext cx="1323975" cy="904875"/>
    <xdr:pic>
      <xdr:nvPicPr>
        <xdr:cNvPr id="11" name="Picture 10" descr="wh_3p_granta">
          <a:extLst>
            <a:ext uri="{FF2B5EF4-FFF2-40B4-BE49-F238E27FC236}">
              <a16:creationId xmlns:a16="http://schemas.microsoft.com/office/drawing/2014/main" xmlns="" id="{FD3892AF-08D2-44EC-83EC-7BEE256E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105025"/>
          <a:ext cx="13239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295275</xdr:colOff>
      <xdr:row>18</xdr:row>
      <xdr:rowOff>161925</xdr:rowOff>
    </xdr:from>
    <xdr:ext cx="1438275" cy="1009650"/>
    <xdr:pic>
      <xdr:nvPicPr>
        <xdr:cNvPr id="12" name="Picture 11" descr="wh_2p_largus">
          <a:extLst>
            <a:ext uri="{FF2B5EF4-FFF2-40B4-BE49-F238E27FC236}">
              <a16:creationId xmlns:a16="http://schemas.microsoft.com/office/drawing/2014/main" xmlns="" id="{8A51E44A-72B4-4F51-A480-3F925ACB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76575"/>
          <a:ext cx="14382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190500</xdr:colOff>
      <xdr:row>17</xdr:row>
      <xdr:rowOff>40205</xdr:rowOff>
    </xdr:from>
    <xdr:ext cx="1841500" cy="1336066"/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A305F8B2-C087-40A1-A991-06639280D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792930"/>
          <a:ext cx="1841500" cy="133606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171638</xdr:colOff>
      <xdr:row>4</xdr:row>
      <xdr:rowOff>244927</xdr:rowOff>
    </xdr:from>
    <xdr:ext cx="1733363" cy="1614243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C3F10D4F-4884-4331-A29B-77AD70FE9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238" y="806902"/>
          <a:ext cx="1733363" cy="1614243"/>
        </a:xfrm>
        <a:prstGeom prst="rect">
          <a:avLst/>
        </a:prstGeom>
      </xdr:spPr>
    </xdr:pic>
    <xdr:clientData/>
  </xdr:oneCellAnchor>
  <xdr:oneCellAnchor>
    <xdr:from>
      <xdr:col>1</xdr:col>
      <xdr:colOff>39244</xdr:colOff>
      <xdr:row>7</xdr:row>
      <xdr:rowOff>163284</xdr:rowOff>
    </xdr:from>
    <xdr:ext cx="1651007" cy="1537608"/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D783DB2C-B370-4415-9E89-DBE78B15C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844" y="1296759"/>
          <a:ext cx="1651007" cy="1537608"/>
        </a:xfrm>
        <a:prstGeom prst="rect">
          <a:avLst/>
        </a:prstGeom>
      </xdr:spPr>
    </xdr:pic>
    <xdr:clientData/>
  </xdr:oneCellAnchor>
  <xdr:oneCellAnchor>
    <xdr:from>
      <xdr:col>1</xdr:col>
      <xdr:colOff>108858</xdr:colOff>
      <xdr:row>5</xdr:row>
      <xdr:rowOff>228770</xdr:rowOff>
    </xdr:from>
    <xdr:ext cx="1843012" cy="1036694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D9656EA-1C5F-45AE-B572-0BF911F4F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58" y="971720"/>
          <a:ext cx="1843012" cy="10366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arttekfilms.ru?subject=&#1047;&#1040;&#1050;&#1040;&#1047;&#1040;&#1058;&#1068;%20&#1054;&#1041;&#1056;&#1040;&#1047;&#1045;&#1062;%20&#1044;&#1051;&#1071;%20&#1058;&#1045;&#1057;&#1058;&#1048;&#1056;&#1054;&#1042;&#1040;&#1053;&#1048;&#1071;" TargetMode="External"/><Relationship Id="rId3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5;&#1072;%20&#1089;&#1090;&#1077;&#1082;&#1083;&#1086;&#1087;&#1086;&#1076;&#1098;&#1077;&#1084;&#1085;&#1080;&#1082;&#1080;" TargetMode="External"/><Relationship Id="rId7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5;&#1072;%20&#1084;&#1086;&#1073;&#1080;&#1083;&#1100;&#1085;&#1099;&#1077;%20&#1072;&#1082;&#1089;&#1077;&#1089;&#1089;&#1091;&#1072;&#1088;&#1099;" TargetMode="External"/><Relationship Id="rId2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7;&#1086;%20&#1089;&#1090;&#1103;&#1078;&#1082;&#1072;&#1084;" TargetMode="External"/><Relationship Id="rId1" Type="http://schemas.openxmlformats.org/officeDocument/2006/relationships/hyperlink" Target="mailto:office@arttekfilms.ru?subject=&#1047;&#1072;&#1087;&#1088;&#1086;&#1089;%20&#1089;&#1087;&#1077;&#1094;.%20&#1087;&#1088;&#1077;&#1076;&#1083;&#1086;&#1078;&#1077;&#1085;&#1080;&#1103;%20&#1085;&#1072;%20&#1087;&#1088;&#1086;&#1074;&#1086;&#1076;&#1072;" TargetMode="External"/><Relationship Id="rId6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5;&#1072;%20&#1082;&#1086;&#1085;&#1094;&#1077;&#1074;&#1099;&#1077;%20&#1082;&#1086;&#1085;&#1090;&#1072;&#1082;&#1090;&#1099;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5;&#1072;%20&#1088;&#1077;&#1083;&#1077;" TargetMode="External"/><Relationship Id="rId10" Type="http://schemas.openxmlformats.org/officeDocument/2006/relationships/hyperlink" Target="https://vk.com/vimar_spb" TargetMode="External"/><Relationship Id="rId4" Type="http://schemas.openxmlformats.org/officeDocument/2006/relationships/hyperlink" Target="mailto:office@arttekfilms.ru?subject=&#1047;&#1072;&#1087;&#1088;&#1086;&#1089;&#1080;&#1090;&#1100;%20&#1089;&#1087;&#1077;&#1094;.&#1087;&#1088;&#1077;&#1076;&#1083;&#1086;&#1078;&#1077;&#1085;&#1080;&#1077;%20&#1085;&#1072;%20&#1079;&#1072;&#1097;&#1080;&#1090;&#1085;&#1099;&#1077;%20&#1087;&#1086;&#1082;&#1088;&#1099;&#1090;&#1080;&#1103;" TargetMode="External"/><Relationship Id="rId9" Type="http://schemas.openxmlformats.org/officeDocument/2006/relationships/hyperlink" Target="https://arttekfilms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office@arttekfilms.ru?subject=&#1047;&#1072;&#1087;&#1088;&#1086;&#1089;%20&#1089;&#1087;&#1077;&#1094;.%20&#1087;&#1088;&#1077;&#1076;&#1083;&#1086;&#1078;&#1077;&#1085;&#1080;&#1103;%20&#1085;&#1072;%20&#1082;&#1083;&#1077;&#1081;&#1082;&#1080;&#1077;%20&#1083;&#1077;&#1085;&#1090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37"/>
  <sheetViews>
    <sheetView tabSelected="1" zoomScale="75" workbookViewId="0">
      <selection activeCell="J35" sqref="J35"/>
    </sheetView>
  </sheetViews>
  <sheetFormatPr defaultColWidth="9.140625" defaultRowHeight="12.75" x14ac:dyDescent="0.2"/>
  <cols>
    <col min="1" max="1" width="4.5703125" style="1" customWidth="1"/>
    <col min="2" max="2" width="62.7109375" style="2" customWidth="1"/>
    <col min="3" max="3" width="20.140625" style="9" customWidth="1"/>
    <col min="4" max="4" width="41.42578125" style="14" bestFit="1" customWidth="1"/>
    <col min="5" max="16384" width="9.140625" style="2"/>
  </cols>
  <sheetData>
    <row r="1" spans="1:4" x14ac:dyDescent="0.2">
      <c r="A1" s="219" t="s">
        <v>18</v>
      </c>
      <c r="B1" s="219"/>
      <c r="C1" s="219"/>
      <c r="D1" s="13"/>
    </row>
    <row r="2" spans="1:4" x14ac:dyDescent="0.2">
      <c r="A2" s="219" t="s">
        <v>26</v>
      </c>
      <c r="B2" s="219"/>
      <c r="C2" s="219"/>
      <c r="D2" s="13"/>
    </row>
    <row r="3" spans="1:4" x14ac:dyDescent="0.2">
      <c r="A3" s="219" t="s">
        <v>0</v>
      </c>
      <c r="B3" s="219"/>
      <c r="C3" s="219"/>
      <c r="D3" s="13"/>
    </row>
    <row r="4" spans="1:4" x14ac:dyDescent="0.2">
      <c r="A4" s="219" t="s">
        <v>22</v>
      </c>
      <c r="B4" s="219"/>
      <c r="C4" s="219"/>
    </row>
    <row r="5" spans="1:4" x14ac:dyDescent="0.2">
      <c r="A5" s="2"/>
    </row>
    <row r="6" spans="1:4" x14ac:dyDescent="0.2">
      <c r="A6" s="16" t="s">
        <v>23</v>
      </c>
    </row>
    <row r="7" spans="1:4" x14ac:dyDescent="0.2">
      <c r="A7" s="16" t="s">
        <v>21</v>
      </c>
    </row>
    <row r="8" spans="1:4" x14ac:dyDescent="0.2">
      <c r="A8" s="16"/>
    </row>
    <row r="9" spans="1:4" ht="18.95" customHeight="1" x14ac:dyDescent="0.25">
      <c r="A9" s="220" t="s">
        <v>1</v>
      </c>
      <c r="B9" s="220"/>
      <c r="C9" s="220"/>
      <c r="D9" s="220"/>
    </row>
    <row r="10" spans="1:4" ht="18.95" customHeight="1" x14ac:dyDescent="0.25">
      <c r="A10" s="220" t="s">
        <v>1395</v>
      </c>
      <c r="B10" s="220"/>
      <c r="C10" s="220"/>
      <c r="D10" s="220"/>
    </row>
    <row r="11" spans="1:4" x14ac:dyDescent="0.2">
      <c r="A11" s="2"/>
    </row>
    <row r="12" spans="1:4" ht="18" x14ac:dyDescent="0.25">
      <c r="A12" s="2"/>
      <c r="B12" s="220" t="s">
        <v>28</v>
      </c>
      <c r="C12" s="220"/>
      <c r="D12" s="220"/>
    </row>
    <row r="14" spans="1:4" x14ac:dyDescent="0.2">
      <c r="A14" s="3"/>
      <c r="B14" s="4"/>
      <c r="C14" s="10"/>
    </row>
    <row r="15" spans="1:4" ht="19.5" customHeight="1" x14ac:dyDescent="0.25">
      <c r="A15" s="5"/>
      <c r="B15" s="6" t="s">
        <v>15</v>
      </c>
      <c r="C15" s="11" t="s">
        <v>2</v>
      </c>
      <c r="D15" s="8"/>
    </row>
    <row r="16" spans="1:4" ht="19.5" customHeight="1" x14ac:dyDescent="0.25">
      <c r="A16" s="5"/>
      <c r="B16" s="6" t="s">
        <v>24</v>
      </c>
      <c r="C16" s="11" t="s">
        <v>2</v>
      </c>
      <c r="D16" s="8"/>
    </row>
    <row r="17" spans="1:4" ht="19.5" customHeight="1" x14ac:dyDescent="0.25">
      <c r="A17" s="5"/>
      <c r="B17" s="6" t="s">
        <v>27</v>
      </c>
      <c r="C17" s="11" t="s">
        <v>2</v>
      </c>
      <c r="D17"/>
    </row>
    <row r="18" spans="1:4" ht="19.5" customHeight="1" x14ac:dyDescent="0.25">
      <c r="A18" s="5"/>
      <c r="B18" s="6" t="s">
        <v>3</v>
      </c>
      <c r="C18" s="11" t="s">
        <v>2</v>
      </c>
      <c r="D18" s="8" t="s">
        <v>13</v>
      </c>
    </row>
    <row r="19" spans="1:4" ht="19.5" customHeight="1" x14ac:dyDescent="0.25">
      <c r="A19" s="5"/>
      <c r="B19" s="6" t="s">
        <v>25</v>
      </c>
      <c r="C19" s="11" t="s">
        <v>2</v>
      </c>
      <c r="D19" s="8"/>
    </row>
    <row r="20" spans="1:4" ht="19.5" customHeight="1" x14ac:dyDescent="0.25">
      <c r="A20" s="5"/>
      <c r="B20" s="6" t="s">
        <v>4</v>
      </c>
      <c r="C20" s="11" t="s">
        <v>2</v>
      </c>
      <c r="D20" s="15" t="s">
        <v>13</v>
      </c>
    </row>
    <row r="21" spans="1:4" ht="19.5" customHeight="1" x14ac:dyDescent="0.25">
      <c r="A21" s="5"/>
      <c r="B21" s="6" t="s">
        <v>5</v>
      </c>
      <c r="C21" s="11" t="s">
        <v>2</v>
      </c>
      <c r="D21" s="15" t="s">
        <v>13</v>
      </c>
    </row>
    <row r="22" spans="1:4" ht="19.5" customHeight="1" x14ac:dyDescent="0.25">
      <c r="A22" s="5"/>
      <c r="B22" s="6" t="s">
        <v>6</v>
      </c>
      <c r="C22" s="11" t="s">
        <v>2</v>
      </c>
    </row>
    <row r="23" spans="1:4" ht="19.5" customHeight="1" x14ac:dyDescent="0.25">
      <c r="A23" s="5"/>
      <c r="B23" s="6" t="s">
        <v>7</v>
      </c>
      <c r="C23" s="11" t="s">
        <v>2</v>
      </c>
      <c r="D23" s="8"/>
    </row>
    <row r="24" spans="1:4" ht="19.5" customHeight="1" x14ac:dyDescent="0.25">
      <c r="A24" s="5"/>
      <c r="B24" s="6" t="s">
        <v>8</v>
      </c>
      <c r="C24" s="11" t="s">
        <v>2</v>
      </c>
    </row>
    <row r="25" spans="1:4" ht="19.5" customHeight="1" x14ac:dyDescent="0.25">
      <c r="A25" s="5"/>
      <c r="B25" s="6" t="s">
        <v>9</v>
      </c>
      <c r="C25" s="11" t="s">
        <v>2</v>
      </c>
    </row>
    <row r="26" spans="1:4" ht="19.5" customHeight="1" x14ac:dyDescent="0.25">
      <c r="A26" s="5"/>
      <c r="B26" s="6" t="s">
        <v>10</v>
      </c>
      <c r="C26" s="11" t="s">
        <v>2</v>
      </c>
      <c r="D26" s="8" t="s">
        <v>13</v>
      </c>
    </row>
    <row r="27" spans="1:4" ht="38.25" customHeight="1" x14ac:dyDescent="0.25">
      <c r="A27" s="5"/>
      <c r="B27" s="6" t="s">
        <v>11</v>
      </c>
      <c r="C27" s="11" t="s">
        <v>2</v>
      </c>
      <c r="D27" s="8"/>
    </row>
    <row r="28" spans="1:4" ht="36" customHeight="1" x14ac:dyDescent="0.25">
      <c r="A28" s="5"/>
      <c r="B28" s="7" t="s">
        <v>12</v>
      </c>
      <c r="C28" s="11" t="s">
        <v>2</v>
      </c>
      <c r="D28" s="8" t="s">
        <v>13</v>
      </c>
    </row>
    <row r="29" spans="1:4" ht="26.25" customHeight="1" x14ac:dyDescent="0.25">
      <c r="A29" s="5"/>
      <c r="B29" s="7" t="s">
        <v>14</v>
      </c>
      <c r="C29" s="11" t="s">
        <v>2</v>
      </c>
      <c r="D29" s="15" t="s">
        <v>13</v>
      </c>
    </row>
    <row r="30" spans="1:4" ht="19.5" customHeight="1" x14ac:dyDescent="0.25">
      <c r="A30" s="5"/>
      <c r="B30" s="7" t="s">
        <v>19</v>
      </c>
      <c r="C30" s="11" t="s">
        <v>2</v>
      </c>
      <c r="D30" s="8" t="s">
        <v>13</v>
      </c>
    </row>
    <row r="31" spans="1:4" ht="19.5" customHeight="1" x14ac:dyDescent="0.25">
      <c r="A31" s="5"/>
      <c r="B31" s="6"/>
      <c r="C31" s="12"/>
    </row>
    <row r="32" spans="1:4" ht="19.5" customHeight="1" x14ac:dyDescent="0.2">
      <c r="B32" s="207" t="s">
        <v>17</v>
      </c>
      <c r="C32" s="207"/>
      <c r="D32" s="207"/>
    </row>
    <row r="33" spans="2:4" ht="30.75" customHeight="1" x14ac:dyDescent="0.2">
      <c r="B33" s="208" t="s">
        <v>20</v>
      </c>
      <c r="C33" s="208"/>
      <c r="D33" s="208"/>
    </row>
    <row r="34" spans="2:4" ht="26.25" customHeight="1" thickBot="1" x14ac:dyDescent="0.25">
      <c r="B34" s="209" t="s">
        <v>16</v>
      </c>
      <c r="C34" s="209"/>
      <c r="D34" s="209"/>
    </row>
    <row r="35" spans="2:4" x14ac:dyDescent="0.2">
      <c r="B35" s="210" t="s">
        <v>29</v>
      </c>
      <c r="C35" s="211"/>
      <c r="D35" s="212"/>
    </row>
    <row r="36" spans="2:4" x14ac:dyDescent="0.2">
      <c r="B36" s="213"/>
      <c r="C36" s="214"/>
      <c r="D36" s="215"/>
    </row>
    <row r="37" spans="2:4" ht="13.5" thickBot="1" x14ac:dyDescent="0.25">
      <c r="B37" s="216"/>
      <c r="C37" s="217"/>
      <c r="D37" s="218"/>
    </row>
  </sheetData>
  <mergeCells count="11">
    <mergeCell ref="B32:D32"/>
    <mergeCell ref="B33:D33"/>
    <mergeCell ref="B34:D34"/>
    <mergeCell ref="B35:D37"/>
    <mergeCell ref="A1:C1"/>
    <mergeCell ref="A2:C2"/>
    <mergeCell ref="A3:C3"/>
    <mergeCell ref="A4:C4"/>
    <mergeCell ref="B12:D12"/>
    <mergeCell ref="A9:D9"/>
    <mergeCell ref="A10:D10"/>
  </mergeCells>
  <phoneticPr fontId="0" type="noConversion"/>
  <hyperlinks>
    <hyperlink ref="C15" location="Изолента!A1" display="подробнее"/>
    <hyperlink ref="C18" location="Провода!A1" display="подробнее"/>
    <hyperlink ref="C20" location="Реле!A1" display="подробнее"/>
    <hyperlink ref="C21" location="Концевики!A1" display="подробнее"/>
    <hyperlink ref="C22" location="Предохранители!A1" display="подробнее"/>
    <hyperlink ref="C23" location="Тюбинг!A1" display="подробнее"/>
    <hyperlink ref="C24" location="Клеммы!A1" display="подробнее"/>
    <hyperlink ref="C25" location="Коннекторы!A1" display="подробнее"/>
    <hyperlink ref="C26" location="Стяжки!A1" display="подробнее"/>
    <hyperlink ref="C27" location="Термотрубка!A1" display="подробнее"/>
    <hyperlink ref="D18" r:id="rId1"/>
    <hyperlink ref="D26" r:id="rId2"/>
    <hyperlink ref="C29" location="'Защитные покрытия'!A1" display="подробнее"/>
    <hyperlink ref="D28" r:id="rId3"/>
    <hyperlink ref="C28" location="ДОП!A1" display="подробнее"/>
    <hyperlink ref="D29" r:id="rId4"/>
    <hyperlink ref="D20" r:id="rId5"/>
    <hyperlink ref="D21" r:id="rId6"/>
    <hyperlink ref="C30" location="'Мобильные аксессуары'!A1" display="подробнее"/>
    <hyperlink ref="D30" r:id="rId7"/>
    <hyperlink ref="B32" r:id="rId8" display="ЗАКАЗАТЬ ОБРАЗЕЦ ДЛЯ ТЕСТИРОВАНИЯ"/>
    <hyperlink ref="C16" location="'Изолента цвета'!A1" display="подробнее"/>
    <hyperlink ref="C19" location="'Провода цвета'!A1" display="подробнее"/>
    <hyperlink ref="C17" location="ПРОМО!A1" display="подробнее"/>
    <hyperlink ref="A6" r:id="rId9" display="Сайт:  https://arttelfilms.ru"/>
    <hyperlink ref="A7" r:id="rId10" display="https://vk.com/vimar_spb"/>
  </hyperlinks>
  <pageMargins left="0.75" right="0.75" top="1" bottom="1" header="0.5" footer="0.5"/>
  <pageSetup paperSize="9" orientation="portrait" verticalDpi="0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H124"/>
  <sheetViews>
    <sheetView zoomScale="75" workbookViewId="0">
      <pane ySplit="3" topLeftCell="A4" activePane="bottomLeft" state="frozen"/>
      <selection activeCell="H2" sqref="H2:H3"/>
    </sheetView>
  </sheetViews>
  <sheetFormatPr defaultRowHeight="12.75" x14ac:dyDescent="0.2"/>
  <cols>
    <col min="1" max="1" width="49.140625" customWidth="1"/>
    <col min="2" max="2" width="86.5703125" customWidth="1"/>
    <col min="3" max="3" width="11.5703125" customWidth="1"/>
    <col min="4" max="4" width="10.140625" customWidth="1"/>
    <col min="5" max="5" width="10.85546875" customWidth="1"/>
    <col min="6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25.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4.2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3.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3.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3.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43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37" t="s">
        <v>44</v>
      </c>
    </row>
    <row r="8" spans="1:8" ht="18.95" customHeight="1" thickTop="1" thickBot="1" x14ac:dyDescent="0.25">
      <c r="A8" s="224" t="s">
        <v>45</v>
      </c>
      <c r="B8" s="225">
        <v>0</v>
      </c>
      <c r="C8" s="225">
        <v>0</v>
      </c>
      <c r="D8" s="225" t="e">
        <v>#REF!</v>
      </c>
      <c r="E8" s="225">
        <v>0</v>
      </c>
      <c r="F8" s="225">
        <v>0</v>
      </c>
      <c r="G8" s="226">
        <v>0</v>
      </c>
      <c r="H8" s="37" t="s">
        <v>44</v>
      </c>
    </row>
    <row r="9" spans="1:8" ht="18.95" customHeight="1" thickTop="1" thickBot="1" x14ac:dyDescent="0.25">
      <c r="A9" s="221" t="s">
        <v>46</v>
      </c>
      <c r="B9" s="222">
        <v>0</v>
      </c>
      <c r="C9" s="222">
        <v>0</v>
      </c>
      <c r="D9" s="222" t="e">
        <v>#REF!</v>
      </c>
      <c r="E9" s="222">
        <v>0</v>
      </c>
      <c r="F9" s="222">
        <v>0</v>
      </c>
      <c r="G9" s="223">
        <v>0</v>
      </c>
      <c r="H9" s="37" t="s">
        <v>44</v>
      </c>
    </row>
    <row r="10" spans="1:8" ht="18.95" customHeight="1" thickTop="1" thickBot="1" x14ac:dyDescent="0.25">
      <c r="A10" s="38" t="s">
        <v>47</v>
      </c>
      <c r="B10" s="39" t="s">
        <v>48</v>
      </c>
      <c r="C10" s="40" t="s">
        <v>49</v>
      </c>
      <c r="D10" s="40">
        <v>500</v>
      </c>
      <c r="E10" s="41">
        <v>59.8</v>
      </c>
      <c r="F10" s="41">
        <v>66.3</v>
      </c>
      <c r="G10" s="42">
        <v>71.599999999999994</v>
      </c>
      <c r="H10" s="37" t="s">
        <v>50</v>
      </c>
    </row>
    <row r="11" spans="1:8" ht="18.95" customHeight="1" thickTop="1" thickBot="1" x14ac:dyDescent="0.25">
      <c r="A11" s="38" t="s">
        <v>51</v>
      </c>
      <c r="B11" s="39" t="s">
        <v>52</v>
      </c>
      <c r="C11" s="40" t="s">
        <v>49</v>
      </c>
      <c r="D11" s="40">
        <v>250</v>
      </c>
      <c r="E11" s="41">
        <v>124.9</v>
      </c>
      <c r="F11" s="41">
        <v>137.80000000000001</v>
      </c>
      <c r="G11" s="42">
        <v>152.30000000000001</v>
      </c>
      <c r="H11" s="37" t="s">
        <v>53</v>
      </c>
    </row>
    <row r="12" spans="1:8" ht="18.95" customHeight="1" thickTop="1" thickBot="1" x14ac:dyDescent="0.25">
      <c r="A12" s="38" t="s">
        <v>54</v>
      </c>
      <c r="B12" s="39" t="s">
        <v>55</v>
      </c>
      <c r="C12" s="40">
        <v>0</v>
      </c>
      <c r="D12" s="40">
        <v>250</v>
      </c>
      <c r="E12" s="41">
        <v>109.1</v>
      </c>
      <c r="F12" s="41">
        <v>119.6</v>
      </c>
      <c r="G12" s="42">
        <v>132.6</v>
      </c>
      <c r="H12" s="37" t="s">
        <v>53</v>
      </c>
    </row>
    <row r="13" spans="1:8" ht="18.95" customHeight="1" thickTop="1" thickBot="1" x14ac:dyDescent="0.25">
      <c r="A13" s="38" t="s">
        <v>56</v>
      </c>
      <c r="B13" s="39" t="s">
        <v>57</v>
      </c>
      <c r="C13" s="40" t="s">
        <v>49</v>
      </c>
      <c r="D13" s="40">
        <v>500</v>
      </c>
      <c r="E13" s="41">
        <v>78.3</v>
      </c>
      <c r="F13" s="41">
        <v>85.8</v>
      </c>
      <c r="G13" s="42">
        <v>94.6</v>
      </c>
      <c r="H13" s="37" t="s">
        <v>50</v>
      </c>
    </row>
    <row r="14" spans="1:8" ht="18.95" customHeight="1" thickTop="1" thickBot="1" x14ac:dyDescent="0.25">
      <c r="A14" s="38" t="s">
        <v>58</v>
      </c>
      <c r="B14" s="39" t="s">
        <v>59</v>
      </c>
      <c r="C14" s="40" t="s">
        <v>49</v>
      </c>
      <c r="D14" s="40">
        <v>200</v>
      </c>
      <c r="E14" s="41">
        <v>166.6</v>
      </c>
      <c r="F14" s="41">
        <v>183</v>
      </c>
      <c r="G14" s="42">
        <v>201.9</v>
      </c>
      <c r="H14" s="37" t="s">
        <v>50</v>
      </c>
    </row>
    <row r="15" spans="1:8" ht="18.95" customHeight="1" thickTop="1" thickBot="1" x14ac:dyDescent="0.25">
      <c r="A15" s="38" t="s">
        <v>60</v>
      </c>
      <c r="B15" s="39" t="s">
        <v>61</v>
      </c>
      <c r="C15" s="40" t="s">
        <v>49</v>
      </c>
      <c r="D15" s="40">
        <v>250</v>
      </c>
      <c r="E15" s="41">
        <v>103.6</v>
      </c>
      <c r="F15" s="41">
        <v>114.4</v>
      </c>
      <c r="G15" s="42">
        <v>126.3</v>
      </c>
      <c r="H15" s="37" t="s">
        <v>53</v>
      </c>
    </row>
    <row r="16" spans="1:8" ht="18.95" customHeight="1" thickTop="1" thickBot="1" x14ac:dyDescent="0.25">
      <c r="A16" s="38" t="s">
        <v>62</v>
      </c>
      <c r="B16" s="39" t="s">
        <v>63</v>
      </c>
      <c r="C16" s="40">
        <v>0</v>
      </c>
      <c r="D16" s="40">
        <v>540</v>
      </c>
      <c r="E16" s="41">
        <v>55.5</v>
      </c>
      <c r="F16" s="41">
        <v>61.7</v>
      </c>
      <c r="G16" s="42">
        <v>68.3</v>
      </c>
      <c r="H16" s="37" t="s">
        <v>53</v>
      </c>
    </row>
    <row r="17" spans="1:8" ht="18.95" customHeight="1" thickTop="1" thickBot="1" x14ac:dyDescent="0.25">
      <c r="A17" s="38" t="s">
        <v>64</v>
      </c>
      <c r="B17" s="39" t="s">
        <v>65</v>
      </c>
      <c r="C17" s="40">
        <v>0</v>
      </c>
      <c r="D17" s="40">
        <v>540</v>
      </c>
      <c r="E17" s="41">
        <v>68.3</v>
      </c>
      <c r="F17" s="41">
        <v>75.8</v>
      </c>
      <c r="G17" s="42">
        <v>83.4</v>
      </c>
      <c r="H17" s="37" t="s">
        <v>53</v>
      </c>
    </row>
    <row r="18" spans="1:8" ht="18.95" customHeight="1" thickTop="1" thickBot="1" x14ac:dyDescent="0.25">
      <c r="A18" s="221" t="s">
        <v>66</v>
      </c>
      <c r="B18" s="222">
        <v>0</v>
      </c>
      <c r="C18" s="222">
        <v>0</v>
      </c>
      <c r="D18" s="222" t="e">
        <v>#REF!</v>
      </c>
      <c r="E18" s="222">
        <v>0</v>
      </c>
      <c r="F18" s="222">
        <v>0</v>
      </c>
      <c r="G18" s="223">
        <v>0</v>
      </c>
      <c r="H18" s="37" t="s">
        <v>44</v>
      </c>
    </row>
    <row r="19" spans="1:8" ht="28.5" customHeight="1" thickTop="1" thickBot="1" x14ac:dyDescent="0.25">
      <c r="A19" s="38" t="s">
        <v>67</v>
      </c>
      <c r="B19" s="39" t="s">
        <v>68</v>
      </c>
      <c r="C19" s="40" t="s">
        <v>49</v>
      </c>
      <c r="D19" s="40">
        <v>36</v>
      </c>
      <c r="E19" s="41">
        <v>609.1</v>
      </c>
      <c r="F19" s="41">
        <v>673.3</v>
      </c>
      <c r="G19" s="42">
        <v>744.5</v>
      </c>
      <c r="H19" s="37" t="s">
        <v>53</v>
      </c>
    </row>
    <row r="20" spans="1:8" ht="30.95" customHeight="1" thickTop="1" thickBot="1" x14ac:dyDescent="0.25">
      <c r="A20" s="221" t="s">
        <v>69</v>
      </c>
      <c r="B20" s="222">
        <v>0</v>
      </c>
      <c r="C20" s="222">
        <v>0</v>
      </c>
      <c r="D20" s="222" t="e">
        <v>#REF!</v>
      </c>
      <c r="E20" s="222">
        <v>0</v>
      </c>
      <c r="F20" s="222">
        <v>0</v>
      </c>
      <c r="G20" s="223">
        <v>0</v>
      </c>
      <c r="H20" s="37" t="s">
        <v>44</v>
      </c>
    </row>
    <row r="21" spans="1:8" ht="27" customHeight="1" thickTop="1" thickBot="1" x14ac:dyDescent="0.25">
      <c r="A21" s="38" t="s">
        <v>70</v>
      </c>
      <c r="B21" s="39" t="s">
        <v>71</v>
      </c>
      <c r="C21" s="40" t="s">
        <v>49</v>
      </c>
      <c r="D21" s="40">
        <v>540</v>
      </c>
      <c r="E21" s="41">
        <v>110.3</v>
      </c>
      <c r="F21" s="41">
        <v>121.2</v>
      </c>
      <c r="G21" s="42">
        <v>133.5</v>
      </c>
      <c r="H21" s="37" t="s">
        <v>53</v>
      </c>
    </row>
    <row r="22" spans="1:8" ht="24.95" customHeight="1" thickTop="1" thickBot="1" x14ac:dyDescent="0.25">
      <c r="A22" s="38" t="s">
        <v>72</v>
      </c>
      <c r="B22" s="39" t="s">
        <v>73</v>
      </c>
      <c r="C22" s="40" t="s">
        <v>49</v>
      </c>
      <c r="D22" s="40">
        <v>360</v>
      </c>
      <c r="E22" s="41">
        <v>165.4</v>
      </c>
      <c r="F22" s="41">
        <v>181.3</v>
      </c>
      <c r="G22" s="42">
        <v>199.9</v>
      </c>
      <c r="H22" s="37" t="s">
        <v>53</v>
      </c>
    </row>
    <row r="23" spans="1:8" ht="18.95" customHeight="1" thickTop="1" thickBot="1" x14ac:dyDescent="0.25">
      <c r="A23" s="38" t="s">
        <v>74</v>
      </c>
      <c r="B23" s="39" t="s">
        <v>75</v>
      </c>
      <c r="C23" s="40" t="s">
        <v>49</v>
      </c>
      <c r="D23" s="40">
        <v>270</v>
      </c>
      <c r="E23" s="41">
        <v>219.4</v>
      </c>
      <c r="F23" s="41">
        <v>241.4</v>
      </c>
      <c r="G23" s="42">
        <v>265.8</v>
      </c>
      <c r="H23" s="37" t="s">
        <v>53</v>
      </c>
    </row>
    <row r="24" spans="1:8" ht="25.5" customHeight="1" thickTop="1" thickBot="1" x14ac:dyDescent="0.25">
      <c r="A24" s="38" t="s">
        <v>76</v>
      </c>
      <c r="B24" s="39" t="s">
        <v>77</v>
      </c>
      <c r="C24" s="40" t="s">
        <v>49</v>
      </c>
      <c r="D24" s="40">
        <v>171</v>
      </c>
      <c r="E24" s="41">
        <v>339.3</v>
      </c>
      <c r="F24" s="41">
        <v>373.9</v>
      </c>
      <c r="G24" s="42">
        <v>410.6</v>
      </c>
      <c r="H24" s="37" t="s">
        <v>53</v>
      </c>
    </row>
    <row r="25" spans="1:8" ht="42" customHeight="1" thickTop="1" thickBot="1" x14ac:dyDescent="0.25">
      <c r="A25" s="38" t="s">
        <v>78</v>
      </c>
      <c r="B25" s="39" t="s">
        <v>79</v>
      </c>
      <c r="C25" s="40" t="s">
        <v>49</v>
      </c>
      <c r="D25" s="40">
        <v>53</v>
      </c>
      <c r="E25" s="41">
        <v>1450.8</v>
      </c>
      <c r="F25" s="41">
        <v>1595.4</v>
      </c>
      <c r="G25" s="42">
        <v>1755.9</v>
      </c>
      <c r="H25" s="37" t="s">
        <v>53</v>
      </c>
    </row>
    <row r="26" spans="1:8" ht="18.95" customHeight="1" thickTop="1" thickBot="1" x14ac:dyDescent="0.25">
      <c r="A26" s="38" t="s">
        <v>80</v>
      </c>
      <c r="B26" s="39" t="s">
        <v>81</v>
      </c>
      <c r="C26" s="40" t="s">
        <v>49</v>
      </c>
      <c r="D26" s="40">
        <v>144</v>
      </c>
      <c r="E26" s="41">
        <v>339.3</v>
      </c>
      <c r="F26" s="41">
        <v>373.9</v>
      </c>
      <c r="G26" s="42">
        <v>410.6</v>
      </c>
      <c r="H26" s="37" t="s">
        <v>53</v>
      </c>
    </row>
    <row r="27" spans="1:8" ht="18.95" customHeight="1" thickTop="1" thickBot="1" x14ac:dyDescent="0.25">
      <c r="A27" s="38" t="s">
        <v>82</v>
      </c>
      <c r="B27" s="39" t="s">
        <v>83</v>
      </c>
      <c r="C27" s="40" t="s">
        <v>49</v>
      </c>
      <c r="D27" s="40">
        <v>81</v>
      </c>
      <c r="E27" s="41">
        <v>638.4</v>
      </c>
      <c r="F27" s="41">
        <v>702.2</v>
      </c>
      <c r="G27" s="42">
        <v>771.9</v>
      </c>
      <c r="H27" s="37" t="s">
        <v>53</v>
      </c>
    </row>
    <row r="28" spans="1:8" ht="18.95" customHeight="1" thickTop="1" thickBot="1" x14ac:dyDescent="0.25">
      <c r="A28" s="38" t="s">
        <v>84</v>
      </c>
      <c r="B28" s="39" t="s">
        <v>85</v>
      </c>
      <c r="C28" s="40" t="s">
        <v>49</v>
      </c>
      <c r="D28" s="40">
        <v>63</v>
      </c>
      <c r="E28" s="41">
        <v>763.3</v>
      </c>
      <c r="F28" s="41">
        <v>840.5</v>
      </c>
      <c r="G28" s="42">
        <v>923.8</v>
      </c>
      <c r="H28" s="37" t="s">
        <v>53</v>
      </c>
    </row>
    <row r="29" spans="1:8" ht="26.45" customHeight="1" thickTop="1" thickBot="1" x14ac:dyDescent="0.25">
      <c r="A29" s="38" t="s">
        <v>86</v>
      </c>
      <c r="B29" s="39" t="s">
        <v>87</v>
      </c>
      <c r="C29" s="40" t="s">
        <v>49</v>
      </c>
      <c r="D29" s="40">
        <v>180</v>
      </c>
      <c r="E29" s="41">
        <v>285.89999999999998</v>
      </c>
      <c r="F29" s="41">
        <v>313.89999999999998</v>
      </c>
      <c r="G29" s="42">
        <v>347.8</v>
      </c>
      <c r="H29" s="37" t="s">
        <v>53</v>
      </c>
    </row>
    <row r="30" spans="1:8" ht="18.95" customHeight="1" thickTop="1" thickBot="1" x14ac:dyDescent="0.25">
      <c r="A30" s="38" t="s">
        <v>88</v>
      </c>
      <c r="B30" s="39" t="s">
        <v>89</v>
      </c>
      <c r="C30" s="40" t="s">
        <v>49</v>
      </c>
      <c r="D30" s="40">
        <v>54</v>
      </c>
      <c r="E30" s="41">
        <v>585.79999999999995</v>
      </c>
      <c r="F30" s="41">
        <v>644.1</v>
      </c>
      <c r="G30" s="42">
        <v>711.8</v>
      </c>
      <c r="H30" s="37" t="s">
        <v>50</v>
      </c>
    </row>
    <row r="31" spans="1:8" ht="18.95" customHeight="1" thickTop="1" thickBot="1" x14ac:dyDescent="0.25">
      <c r="A31" s="38" t="s">
        <v>90</v>
      </c>
      <c r="B31" s="39" t="s">
        <v>91</v>
      </c>
      <c r="C31" s="40" t="s">
        <v>49</v>
      </c>
      <c r="D31" s="40">
        <v>26</v>
      </c>
      <c r="E31" s="41">
        <v>1511.3</v>
      </c>
      <c r="F31" s="41">
        <v>1663</v>
      </c>
      <c r="G31" s="42">
        <v>1836.9</v>
      </c>
      <c r="H31" s="37" t="s">
        <v>53</v>
      </c>
    </row>
    <row r="32" spans="1:8" ht="18.95" customHeight="1" thickTop="1" thickBot="1" x14ac:dyDescent="0.25">
      <c r="A32" s="221" t="s">
        <v>92</v>
      </c>
      <c r="B32" s="222">
        <v>0</v>
      </c>
      <c r="C32" s="222">
        <v>0</v>
      </c>
      <c r="D32" s="222" t="e">
        <v>#REF!</v>
      </c>
      <c r="E32" s="222">
        <v>0</v>
      </c>
      <c r="F32" s="222">
        <v>0</v>
      </c>
      <c r="G32" s="223">
        <v>0</v>
      </c>
      <c r="H32" s="37" t="s">
        <v>44</v>
      </c>
    </row>
    <row r="33" spans="1:8" ht="18.95" customHeight="1" thickTop="1" thickBot="1" x14ac:dyDescent="0.25">
      <c r="A33" s="43" t="s">
        <v>93</v>
      </c>
      <c r="B33" s="44" t="s">
        <v>94</v>
      </c>
      <c r="C33" s="40" t="s">
        <v>49</v>
      </c>
      <c r="D33" s="40">
        <v>135</v>
      </c>
      <c r="E33" s="41">
        <v>554.9</v>
      </c>
      <c r="F33" s="41">
        <v>611.9</v>
      </c>
      <c r="G33" s="42">
        <v>674.4</v>
      </c>
      <c r="H33" s="37" t="s">
        <v>53</v>
      </c>
    </row>
    <row r="34" spans="1:8" ht="18.95" customHeight="1" thickTop="1" thickBot="1" x14ac:dyDescent="0.25">
      <c r="A34" s="43" t="s">
        <v>95</v>
      </c>
      <c r="B34" s="44" t="s">
        <v>96</v>
      </c>
      <c r="C34" s="40" t="s">
        <v>49</v>
      </c>
      <c r="D34" s="40">
        <v>135</v>
      </c>
      <c r="E34" s="41">
        <v>554.9</v>
      </c>
      <c r="F34" s="41">
        <v>611.9</v>
      </c>
      <c r="G34" s="42">
        <v>674.4</v>
      </c>
      <c r="H34" s="37" t="s">
        <v>53</v>
      </c>
    </row>
    <row r="35" spans="1:8" ht="18.95" customHeight="1" thickTop="1" thickBot="1" x14ac:dyDescent="0.25">
      <c r="A35" s="38" t="s">
        <v>97</v>
      </c>
      <c r="B35" s="39" t="s">
        <v>98</v>
      </c>
      <c r="C35" s="40" t="s">
        <v>49</v>
      </c>
      <c r="D35" s="40">
        <v>120</v>
      </c>
      <c r="E35" s="41">
        <v>423.9</v>
      </c>
      <c r="F35" s="41">
        <v>462</v>
      </c>
      <c r="G35" s="42">
        <v>509.6</v>
      </c>
      <c r="H35" s="37" t="s">
        <v>53</v>
      </c>
    </row>
    <row r="36" spans="1:8" ht="18.95" customHeight="1" thickTop="1" thickBot="1" x14ac:dyDescent="0.25">
      <c r="A36" s="38" t="s">
        <v>99</v>
      </c>
      <c r="B36" s="39" t="s">
        <v>100</v>
      </c>
      <c r="C36" s="40" t="s">
        <v>49</v>
      </c>
      <c r="D36" s="40">
        <v>120</v>
      </c>
      <c r="E36" s="41">
        <v>372.6</v>
      </c>
      <c r="F36" s="41">
        <v>405.5</v>
      </c>
      <c r="G36" s="42">
        <v>448.3</v>
      </c>
      <c r="H36" s="37" t="s">
        <v>53</v>
      </c>
    </row>
    <row r="37" spans="1:8" ht="18.95" customHeight="1" thickTop="1" thickBot="1" x14ac:dyDescent="0.25">
      <c r="A37" s="38" t="s">
        <v>101</v>
      </c>
      <c r="B37" s="39" t="s">
        <v>102</v>
      </c>
      <c r="C37" s="40" t="s">
        <v>49</v>
      </c>
      <c r="D37" s="40">
        <v>200</v>
      </c>
      <c r="E37" s="41">
        <v>273.3</v>
      </c>
      <c r="F37" s="41">
        <v>299.3</v>
      </c>
      <c r="G37" s="42">
        <v>330.2</v>
      </c>
      <c r="H37" s="37" t="s">
        <v>53</v>
      </c>
    </row>
    <row r="38" spans="1:8" ht="18.95" customHeight="1" thickTop="1" thickBot="1" x14ac:dyDescent="0.25">
      <c r="A38" s="38" t="s">
        <v>103</v>
      </c>
      <c r="B38" s="39" t="s">
        <v>104</v>
      </c>
      <c r="C38" s="40" t="s">
        <v>49</v>
      </c>
      <c r="D38" s="40">
        <v>90</v>
      </c>
      <c r="E38" s="41">
        <v>384.8</v>
      </c>
      <c r="F38" s="41">
        <v>419</v>
      </c>
      <c r="G38" s="42">
        <v>464.4</v>
      </c>
      <c r="H38" s="37" t="s">
        <v>53</v>
      </c>
    </row>
    <row r="39" spans="1:8" ht="43.5" customHeight="1" thickTop="1" thickBot="1" x14ac:dyDescent="0.25">
      <c r="A39" s="227" t="s">
        <v>105</v>
      </c>
      <c r="B39" s="228">
        <v>0</v>
      </c>
      <c r="C39" s="228">
        <v>0</v>
      </c>
      <c r="D39" s="228" t="e">
        <v>#REF!</v>
      </c>
      <c r="E39" s="228">
        <v>0</v>
      </c>
      <c r="F39" s="228">
        <v>0</v>
      </c>
      <c r="G39" s="229">
        <v>0</v>
      </c>
      <c r="H39" s="37" t="s">
        <v>44</v>
      </c>
    </row>
    <row r="40" spans="1:8" ht="18.95" customHeight="1" thickTop="1" thickBot="1" x14ac:dyDescent="0.25">
      <c r="A40" s="224" t="s">
        <v>106</v>
      </c>
      <c r="B40" s="225">
        <v>0</v>
      </c>
      <c r="C40" s="225">
        <v>0</v>
      </c>
      <c r="D40" s="225" t="e">
        <v>#REF!</v>
      </c>
      <c r="E40" s="225">
        <v>0</v>
      </c>
      <c r="F40" s="225">
        <v>0</v>
      </c>
      <c r="G40" s="226">
        <v>0</v>
      </c>
      <c r="H40" s="37" t="s">
        <v>44</v>
      </c>
    </row>
    <row r="41" spans="1:8" ht="18.95" customHeight="1" thickTop="1" thickBot="1" x14ac:dyDescent="0.25">
      <c r="A41" s="221" t="s">
        <v>92</v>
      </c>
      <c r="B41" s="222">
        <v>0</v>
      </c>
      <c r="C41" s="222">
        <v>0</v>
      </c>
      <c r="D41" s="222" t="e">
        <v>#REF!</v>
      </c>
      <c r="E41" s="222">
        <v>0</v>
      </c>
      <c r="F41" s="222">
        <v>0</v>
      </c>
      <c r="G41" s="223">
        <v>0</v>
      </c>
      <c r="H41" s="37" t="s">
        <v>44</v>
      </c>
    </row>
    <row r="42" spans="1:8" ht="31.5" customHeight="1" thickTop="1" thickBot="1" x14ac:dyDescent="0.25">
      <c r="A42" s="45" t="s">
        <v>107</v>
      </c>
      <c r="B42" s="39" t="s">
        <v>108</v>
      </c>
      <c r="C42" s="40" t="s">
        <v>49</v>
      </c>
      <c r="D42" s="40">
        <v>100</v>
      </c>
      <c r="E42" s="46">
        <v>429.2</v>
      </c>
      <c r="F42" s="46">
        <v>467.7</v>
      </c>
      <c r="G42" s="47">
        <v>516</v>
      </c>
      <c r="H42" s="48" t="s">
        <v>109</v>
      </c>
    </row>
    <row r="43" spans="1:8" ht="18.95" customHeight="1" thickTop="1" thickBot="1" x14ac:dyDescent="0.25">
      <c r="A43" s="224" t="s">
        <v>110</v>
      </c>
      <c r="B43" s="225">
        <v>0</v>
      </c>
      <c r="C43" s="225">
        <v>0</v>
      </c>
      <c r="D43" s="225" t="e">
        <v>#REF!</v>
      </c>
      <c r="E43" s="225">
        <v>0</v>
      </c>
      <c r="F43" s="225">
        <v>0</v>
      </c>
      <c r="G43" s="226">
        <v>0</v>
      </c>
      <c r="H43" s="37" t="s">
        <v>44</v>
      </c>
    </row>
    <row r="44" spans="1:8" ht="18.95" customHeight="1" thickTop="1" thickBot="1" x14ac:dyDescent="0.25">
      <c r="A44" s="221" t="s">
        <v>46</v>
      </c>
      <c r="B44" s="222">
        <v>0</v>
      </c>
      <c r="C44" s="222">
        <v>0</v>
      </c>
      <c r="D44" s="222" t="e">
        <v>#REF!</v>
      </c>
      <c r="E44" s="222">
        <v>0</v>
      </c>
      <c r="F44" s="222">
        <v>0</v>
      </c>
      <c r="G44" s="223">
        <v>0</v>
      </c>
      <c r="H44" s="37" t="s">
        <v>44</v>
      </c>
    </row>
    <row r="45" spans="1:8" ht="27" customHeight="1" thickTop="1" thickBot="1" x14ac:dyDescent="0.25">
      <c r="A45" s="38" t="s">
        <v>111</v>
      </c>
      <c r="B45" s="39" t="s">
        <v>112</v>
      </c>
      <c r="C45" s="40" t="s">
        <v>49</v>
      </c>
      <c r="D45" s="40">
        <v>200</v>
      </c>
      <c r="E45" s="41">
        <v>163</v>
      </c>
      <c r="F45" s="41">
        <v>178</v>
      </c>
      <c r="G45" s="42">
        <v>197</v>
      </c>
      <c r="H45" s="37" t="s">
        <v>50</v>
      </c>
    </row>
    <row r="46" spans="1:8" ht="18.95" customHeight="1" thickTop="1" thickBot="1" x14ac:dyDescent="0.25">
      <c r="A46" s="38" t="s">
        <v>113</v>
      </c>
      <c r="B46" s="39" t="s">
        <v>114</v>
      </c>
      <c r="C46" s="40" t="s">
        <v>49</v>
      </c>
      <c r="D46" s="40">
        <v>0</v>
      </c>
      <c r="E46" s="41">
        <v>163</v>
      </c>
      <c r="F46" s="41">
        <v>178</v>
      </c>
      <c r="G46" s="42">
        <v>197</v>
      </c>
      <c r="H46" s="48" t="s">
        <v>109</v>
      </c>
    </row>
    <row r="47" spans="1:8" ht="18.95" customHeight="1" thickTop="1" thickBot="1" x14ac:dyDescent="0.25">
      <c r="A47" s="38" t="s">
        <v>115</v>
      </c>
      <c r="B47" s="39" t="s">
        <v>116</v>
      </c>
      <c r="C47" s="40" t="s">
        <v>49</v>
      </c>
      <c r="D47" s="40">
        <v>200</v>
      </c>
      <c r="E47" s="41">
        <v>190.6</v>
      </c>
      <c r="F47" s="41">
        <v>209.5</v>
      </c>
      <c r="G47" s="42">
        <v>232.4</v>
      </c>
      <c r="H47" s="37" t="s">
        <v>53</v>
      </c>
    </row>
    <row r="48" spans="1:8" ht="18.95" customHeight="1" thickTop="1" thickBot="1" x14ac:dyDescent="0.25">
      <c r="A48" s="38" t="s">
        <v>117</v>
      </c>
      <c r="B48" s="39" t="s">
        <v>118</v>
      </c>
      <c r="C48" s="40" t="s">
        <v>49</v>
      </c>
      <c r="D48" s="40">
        <v>200</v>
      </c>
      <c r="E48" s="41">
        <v>190.6</v>
      </c>
      <c r="F48" s="41">
        <v>209.5</v>
      </c>
      <c r="G48" s="42">
        <v>232.4</v>
      </c>
      <c r="H48" s="48" t="s">
        <v>109</v>
      </c>
    </row>
    <row r="49" spans="1:8" ht="18.95" customHeight="1" thickTop="1" thickBot="1" x14ac:dyDescent="0.25">
      <c r="A49" s="38" t="s">
        <v>119</v>
      </c>
      <c r="B49" s="39" t="s">
        <v>120</v>
      </c>
      <c r="C49" s="40" t="s">
        <v>49</v>
      </c>
      <c r="D49" s="40">
        <v>200</v>
      </c>
      <c r="E49" s="41">
        <v>215.8</v>
      </c>
      <c r="F49" s="41">
        <v>238.5</v>
      </c>
      <c r="G49" s="42">
        <v>263.8</v>
      </c>
      <c r="H49" s="37" t="s">
        <v>50</v>
      </c>
    </row>
    <row r="50" spans="1:8" ht="22.7" customHeight="1" thickTop="1" thickBot="1" x14ac:dyDescent="0.25">
      <c r="A50" s="38" t="s">
        <v>121</v>
      </c>
      <c r="B50" s="39" t="s">
        <v>122</v>
      </c>
      <c r="C50" s="40" t="s">
        <v>49</v>
      </c>
      <c r="D50" s="40">
        <v>100</v>
      </c>
      <c r="E50" s="41">
        <v>460.1</v>
      </c>
      <c r="F50" s="41">
        <v>506</v>
      </c>
      <c r="G50" s="42">
        <v>559.79999999999995</v>
      </c>
      <c r="H50" s="37" t="s">
        <v>53</v>
      </c>
    </row>
    <row r="51" spans="1:8" ht="29.25" customHeight="1" thickTop="1" thickBot="1" x14ac:dyDescent="0.25">
      <c r="A51" s="38" t="s">
        <v>123</v>
      </c>
      <c r="B51" s="39" t="s">
        <v>124</v>
      </c>
      <c r="C51" s="40" t="s">
        <v>49</v>
      </c>
      <c r="D51" s="40">
        <v>64</v>
      </c>
      <c r="E51" s="41">
        <v>420.9</v>
      </c>
      <c r="F51" s="41">
        <v>462.7</v>
      </c>
      <c r="G51" s="42">
        <v>511.4</v>
      </c>
      <c r="H51" s="37" t="s">
        <v>53</v>
      </c>
    </row>
    <row r="52" spans="1:8" ht="27.95" customHeight="1" thickTop="1" thickBot="1" x14ac:dyDescent="0.25">
      <c r="A52" s="38" t="s">
        <v>125</v>
      </c>
      <c r="B52" s="39" t="s">
        <v>126</v>
      </c>
      <c r="C52" s="40" t="s">
        <v>49</v>
      </c>
      <c r="D52" s="40">
        <v>27</v>
      </c>
      <c r="E52" s="41">
        <v>728.4</v>
      </c>
      <c r="F52" s="41">
        <v>801</v>
      </c>
      <c r="G52" s="42">
        <v>885.3</v>
      </c>
      <c r="H52" s="37" t="s">
        <v>53</v>
      </c>
    </row>
    <row r="53" spans="1:8" ht="24" customHeight="1" thickTop="1" thickBot="1" x14ac:dyDescent="0.25">
      <c r="A53" s="45" t="s">
        <v>127</v>
      </c>
      <c r="B53" s="39" t="s">
        <v>128</v>
      </c>
      <c r="C53" s="40" t="s">
        <v>129</v>
      </c>
      <c r="D53" s="40">
        <v>60</v>
      </c>
      <c r="E53" s="46">
        <v>174.5</v>
      </c>
      <c r="F53" s="46">
        <v>191.3</v>
      </c>
      <c r="G53" s="47">
        <v>213.3</v>
      </c>
      <c r="H53" s="37" t="s">
        <v>53</v>
      </c>
    </row>
    <row r="54" spans="1:8" ht="28.5" customHeight="1" thickTop="1" thickBot="1" x14ac:dyDescent="0.25">
      <c r="A54" s="221" t="s">
        <v>92</v>
      </c>
      <c r="B54" s="222">
        <v>0</v>
      </c>
      <c r="C54" s="222">
        <v>0</v>
      </c>
      <c r="D54" s="222" t="e">
        <v>#REF!</v>
      </c>
      <c r="E54" s="222">
        <v>0</v>
      </c>
      <c r="F54" s="222">
        <v>0</v>
      </c>
      <c r="G54" s="223">
        <v>0</v>
      </c>
      <c r="H54" s="37" t="s">
        <v>44</v>
      </c>
    </row>
    <row r="55" spans="1:8" ht="30" customHeight="1" thickTop="1" thickBot="1" x14ac:dyDescent="0.25">
      <c r="A55" s="38" t="s">
        <v>130</v>
      </c>
      <c r="B55" s="39" t="s">
        <v>131</v>
      </c>
      <c r="C55" s="40" t="s">
        <v>49</v>
      </c>
      <c r="D55" s="40">
        <v>500</v>
      </c>
      <c r="E55" s="41">
        <v>54.4</v>
      </c>
      <c r="F55" s="41">
        <v>60.7</v>
      </c>
      <c r="G55" s="42">
        <v>66.8</v>
      </c>
      <c r="H55" s="37" t="s">
        <v>53</v>
      </c>
    </row>
    <row r="56" spans="1:8" ht="27" thickTop="1" thickBot="1" x14ac:dyDescent="0.25">
      <c r="A56" s="38" t="s">
        <v>132</v>
      </c>
      <c r="B56" s="39" t="s">
        <v>133</v>
      </c>
      <c r="C56" s="40" t="s">
        <v>49</v>
      </c>
      <c r="D56" s="40">
        <v>500</v>
      </c>
      <c r="E56" s="41">
        <v>41.7</v>
      </c>
      <c r="F56" s="41">
        <v>46.8</v>
      </c>
      <c r="G56" s="42">
        <v>51.7</v>
      </c>
      <c r="H56" s="48" t="s">
        <v>109</v>
      </c>
    </row>
    <row r="57" spans="1:8" ht="14.25" thickTop="1" thickBot="1" x14ac:dyDescent="0.25">
      <c r="A57" s="38" t="s">
        <v>134</v>
      </c>
      <c r="B57" s="39" t="s">
        <v>135</v>
      </c>
      <c r="C57" s="40" t="s">
        <v>49</v>
      </c>
      <c r="D57" s="40">
        <v>500</v>
      </c>
      <c r="E57" s="41">
        <v>47.8</v>
      </c>
      <c r="F57" s="41">
        <v>53</v>
      </c>
      <c r="G57" s="42">
        <v>58</v>
      </c>
      <c r="H57" s="48" t="s">
        <v>109</v>
      </c>
    </row>
    <row r="58" spans="1:8" ht="14.25" thickTop="1" thickBot="1" x14ac:dyDescent="0.25">
      <c r="A58" s="38" t="s">
        <v>136</v>
      </c>
      <c r="B58" s="39" t="s">
        <v>137</v>
      </c>
      <c r="C58" s="40" t="s">
        <v>49</v>
      </c>
      <c r="D58" s="40">
        <v>250</v>
      </c>
      <c r="E58" s="41">
        <v>106</v>
      </c>
      <c r="F58" s="41">
        <v>116.1</v>
      </c>
      <c r="G58" s="42">
        <v>127.5</v>
      </c>
      <c r="H58" s="37" t="s">
        <v>53</v>
      </c>
    </row>
    <row r="59" spans="1:8" ht="27" thickTop="1" thickBot="1" x14ac:dyDescent="0.25">
      <c r="A59" s="38" t="s">
        <v>138</v>
      </c>
      <c r="B59" s="39" t="s">
        <v>139</v>
      </c>
      <c r="C59" s="40" t="s">
        <v>49</v>
      </c>
      <c r="D59" s="40">
        <v>250</v>
      </c>
      <c r="E59" s="41">
        <v>87.5</v>
      </c>
      <c r="F59" s="41">
        <v>96.9</v>
      </c>
      <c r="G59" s="42">
        <v>106.3</v>
      </c>
      <c r="H59" s="48" t="s">
        <v>109</v>
      </c>
    </row>
    <row r="60" spans="1:8" ht="14.25" thickTop="1" thickBot="1" x14ac:dyDescent="0.25">
      <c r="A60" s="38" t="s">
        <v>140</v>
      </c>
      <c r="B60" s="39" t="s">
        <v>141</v>
      </c>
      <c r="C60" s="40">
        <v>0</v>
      </c>
      <c r="D60" s="40">
        <v>200</v>
      </c>
      <c r="E60" s="41">
        <v>117.2</v>
      </c>
      <c r="F60" s="41">
        <v>128.69999999999999</v>
      </c>
      <c r="G60" s="42">
        <v>142.69999999999999</v>
      </c>
      <c r="H60" s="37" t="s">
        <v>53</v>
      </c>
    </row>
    <row r="61" spans="1:8" ht="14.25" thickTop="1" thickBot="1" x14ac:dyDescent="0.25">
      <c r="A61" s="38" t="s">
        <v>142</v>
      </c>
      <c r="B61" s="39" t="s">
        <v>143</v>
      </c>
      <c r="C61" s="40" t="s">
        <v>129</v>
      </c>
      <c r="D61" s="40">
        <v>300</v>
      </c>
      <c r="E61" s="41">
        <v>51.7</v>
      </c>
      <c r="F61" s="41">
        <v>56.8</v>
      </c>
      <c r="G61" s="42">
        <v>61.7</v>
      </c>
      <c r="H61" s="37" t="s">
        <v>53</v>
      </c>
    </row>
    <row r="62" spans="1:8" ht="14.25" thickTop="1" thickBot="1" x14ac:dyDescent="0.25">
      <c r="A62" s="38" t="s">
        <v>144</v>
      </c>
      <c r="B62" s="39" t="s">
        <v>145</v>
      </c>
      <c r="C62" s="40" t="s">
        <v>129</v>
      </c>
      <c r="D62" s="40">
        <v>200</v>
      </c>
      <c r="E62" s="41">
        <v>91</v>
      </c>
      <c r="F62" s="41">
        <v>99.6</v>
      </c>
      <c r="G62" s="42">
        <v>111.1</v>
      </c>
      <c r="H62" s="37" t="s">
        <v>53</v>
      </c>
    </row>
    <row r="63" spans="1:8" ht="14.25" thickTop="1" thickBot="1" x14ac:dyDescent="0.25">
      <c r="A63" s="45" t="s">
        <v>146</v>
      </c>
      <c r="B63" s="39" t="s">
        <v>147</v>
      </c>
      <c r="C63" s="40" t="s">
        <v>129</v>
      </c>
      <c r="D63" s="40">
        <v>200</v>
      </c>
      <c r="E63" s="46">
        <v>91</v>
      </c>
      <c r="F63" s="46">
        <v>99.6</v>
      </c>
      <c r="G63" s="47">
        <v>111.1</v>
      </c>
      <c r="H63" s="48" t="s">
        <v>109</v>
      </c>
    </row>
    <row r="64" spans="1:8" ht="14.25" thickTop="1" thickBot="1" x14ac:dyDescent="0.25">
      <c r="A64" s="45" t="s">
        <v>148</v>
      </c>
      <c r="B64" s="39" t="s">
        <v>149</v>
      </c>
      <c r="C64" s="40" t="s">
        <v>129</v>
      </c>
      <c r="D64" s="40">
        <v>60</v>
      </c>
      <c r="E64" s="46">
        <v>214.2</v>
      </c>
      <c r="F64" s="46">
        <v>234.8</v>
      </c>
      <c r="G64" s="47">
        <v>261.7</v>
      </c>
      <c r="H64" s="37" t="s">
        <v>53</v>
      </c>
    </row>
    <row r="65" spans="1:8" ht="14.25" thickTop="1" thickBot="1" x14ac:dyDescent="0.25">
      <c r="A65" s="221" t="s">
        <v>150</v>
      </c>
      <c r="B65" s="222">
        <v>0</v>
      </c>
      <c r="C65" s="222">
        <v>0</v>
      </c>
      <c r="D65" s="222" t="e">
        <v>#REF!</v>
      </c>
      <c r="E65" s="222">
        <v>0</v>
      </c>
      <c r="F65" s="222">
        <v>0</v>
      </c>
      <c r="G65" s="223">
        <v>0</v>
      </c>
      <c r="H65" s="37" t="s">
        <v>44</v>
      </c>
    </row>
    <row r="66" spans="1:8" ht="14.25" thickTop="1" thickBot="1" x14ac:dyDescent="0.25">
      <c r="A66" s="38" t="s">
        <v>151</v>
      </c>
      <c r="B66" s="39" t="s">
        <v>152</v>
      </c>
      <c r="C66" s="40" t="s">
        <v>49</v>
      </c>
      <c r="D66" s="40">
        <v>72</v>
      </c>
      <c r="E66" s="41">
        <v>86.6</v>
      </c>
      <c r="F66" s="41">
        <v>95.1</v>
      </c>
      <c r="G66" s="42">
        <v>105.3</v>
      </c>
      <c r="H66" s="37" t="s">
        <v>53</v>
      </c>
    </row>
    <row r="67" spans="1:8" ht="14.25" thickTop="1" thickBot="1" x14ac:dyDescent="0.25">
      <c r="A67" s="224" t="s">
        <v>153</v>
      </c>
      <c r="B67" s="225">
        <v>0</v>
      </c>
      <c r="C67" s="225">
        <v>0</v>
      </c>
      <c r="D67" s="225" t="e">
        <v>#REF!</v>
      </c>
      <c r="E67" s="225">
        <v>0</v>
      </c>
      <c r="F67" s="225">
        <v>0</v>
      </c>
      <c r="G67" s="226">
        <v>0</v>
      </c>
      <c r="H67" s="37" t="s">
        <v>44</v>
      </c>
    </row>
    <row r="68" spans="1:8" ht="27" thickTop="1" thickBot="1" x14ac:dyDescent="0.25">
      <c r="A68" s="38" t="s">
        <v>154</v>
      </c>
      <c r="B68" s="39" t="s">
        <v>155</v>
      </c>
      <c r="C68" s="40" t="s">
        <v>49</v>
      </c>
      <c r="D68" s="40">
        <v>24</v>
      </c>
      <c r="E68" s="41">
        <v>430.4</v>
      </c>
      <c r="F68" s="41">
        <v>473.4</v>
      </c>
      <c r="G68" s="42">
        <v>523.20000000000005</v>
      </c>
      <c r="H68" s="37" t="s">
        <v>53</v>
      </c>
    </row>
    <row r="69" spans="1:8" ht="39.75" thickTop="1" thickBot="1" x14ac:dyDescent="0.25">
      <c r="A69" s="38" t="s">
        <v>156</v>
      </c>
      <c r="B69" s="39" t="s">
        <v>157</v>
      </c>
      <c r="C69" s="40" t="s">
        <v>49</v>
      </c>
      <c r="D69" s="40">
        <v>36</v>
      </c>
      <c r="E69" s="41">
        <v>417.8</v>
      </c>
      <c r="F69" s="41">
        <v>459.6</v>
      </c>
      <c r="G69" s="42">
        <v>508</v>
      </c>
      <c r="H69" s="37" t="s">
        <v>53</v>
      </c>
    </row>
    <row r="70" spans="1:8" ht="27" thickTop="1" thickBot="1" x14ac:dyDescent="0.25">
      <c r="A70" s="38" t="s">
        <v>158</v>
      </c>
      <c r="B70" s="39" t="s">
        <v>159</v>
      </c>
      <c r="C70" s="40" t="s">
        <v>49</v>
      </c>
      <c r="D70" s="40">
        <v>36</v>
      </c>
      <c r="E70" s="41">
        <v>259.8</v>
      </c>
      <c r="F70" s="41">
        <v>286</v>
      </c>
      <c r="G70" s="42">
        <v>316.10000000000002</v>
      </c>
      <c r="H70" s="37" t="s">
        <v>53</v>
      </c>
    </row>
    <row r="71" spans="1:8" ht="27" thickTop="1" thickBot="1" x14ac:dyDescent="0.25">
      <c r="A71" s="38" t="s">
        <v>160</v>
      </c>
      <c r="B71" s="39" t="s">
        <v>161</v>
      </c>
      <c r="C71" s="40" t="s">
        <v>49</v>
      </c>
      <c r="D71" s="40">
        <v>36</v>
      </c>
      <c r="E71" s="41">
        <v>113.7</v>
      </c>
      <c r="F71" s="41">
        <v>125.2</v>
      </c>
      <c r="G71" s="42">
        <v>138.19999999999999</v>
      </c>
      <c r="H71" s="37" t="s">
        <v>53</v>
      </c>
    </row>
    <row r="72" spans="1:8" ht="27" thickTop="1" thickBot="1" x14ac:dyDescent="0.25">
      <c r="A72" s="38" t="s">
        <v>162</v>
      </c>
      <c r="B72" s="39" t="s">
        <v>163</v>
      </c>
      <c r="C72" s="40" t="s">
        <v>49</v>
      </c>
      <c r="D72" s="40">
        <v>60</v>
      </c>
      <c r="E72" s="41">
        <v>202.4</v>
      </c>
      <c r="F72" s="41">
        <v>222.7</v>
      </c>
      <c r="G72" s="42">
        <v>246.1</v>
      </c>
      <c r="H72" s="37" t="s">
        <v>53</v>
      </c>
    </row>
    <row r="73" spans="1:8" ht="27" thickTop="1" thickBot="1" x14ac:dyDescent="0.25">
      <c r="A73" s="38" t="s">
        <v>164</v>
      </c>
      <c r="B73" s="39" t="s">
        <v>165</v>
      </c>
      <c r="C73" s="40" t="s">
        <v>49</v>
      </c>
      <c r="D73" s="40">
        <v>60</v>
      </c>
      <c r="E73" s="41">
        <v>202.4</v>
      </c>
      <c r="F73" s="41">
        <v>222.7</v>
      </c>
      <c r="G73" s="42">
        <v>246.1</v>
      </c>
      <c r="H73" s="37" t="s">
        <v>53</v>
      </c>
    </row>
    <row r="74" spans="1:8" ht="27" thickTop="1" thickBot="1" x14ac:dyDescent="0.25">
      <c r="A74" s="38" t="s">
        <v>166</v>
      </c>
      <c r="B74" s="39" t="s">
        <v>167</v>
      </c>
      <c r="C74" s="40" t="s">
        <v>49</v>
      </c>
      <c r="D74" s="40">
        <v>24</v>
      </c>
      <c r="E74" s="41">
        <v>265.39999999999998</v>
      </c>
      <c r="F74" s="41">
        <v>291.89999999999998</v>
      </c>
      <c r="G74" s="42">
        <v>322.39999999999998</v>
      </c>
      <c r="H74" s="37" t="s">
        <v>53</v>
      </c>
    </row>
    <row r="75" spans="1:8" ht="27" thickTop="1" thickBot="1" x14ac:dyDescent="0.25">
      <c r="A75" s="38" t="s">
        <v>168</v>
      </c>
      <c r="B75" s="39" t="s">
        <v>169</v>
      </c>
      <c r="C75" s="40" t="s">
        <v>49</v>
      </c>
      <c r="D75" s="40">
        <v>24</v>
      </c>
      <c r="E75" s="41">
        <v>265.39999999999998</v>
      </c>
      <c r="F75" s="41">
        <v>291.89999999999998</v>
      </c>
      <c r="G75" s="42">
        <v>322.39999999999998</v>
      </c>
      <c r="H75" s="37" t="s">
        <v>53</v>
      </c>
    </row>
    <row r="76" spans="1:8" ht="27" thickTop="1" thickBot="1" x14ac:dyDescent="0.25">
      <c r="A76" s="38" t="s">
        <v>170</v>
      </c>
      <c r="B76" s="39" t="s">
        <v>171</v>
      </c>
      <c r="C76" s="40">
        <v>0</v>
      </c>
      <c r="D76" s="40">
        <v>18</v>
      </c>
      <c r="E76" s="41">
        <v>142.30000000000001</v>
      </c>
      <c r="F76" s="41">
        <v>156.5</v>
      </c>
      <c r="G76" s="42">
        <v>172.9</v>
      </c>
      <c r="H76" s="37" t="s">
        <v>53</v>
      </c>
    </row>
    <row r="77" spans="1:8" ht="14.25" thickTop="1" thickBot="1" x14ac:dyDescent="0.25">
      <c r="A77" s="38" t="s">
        <v>172</v>
      </c>
      <c r="B77" s="39" t="s">
        <v>173</v>
      </c>
      <c r="C77" s="40" t="s">
        <v>49</v>
      </c>
      <c r="D77" s="40">
        <v>12</v>
      </c>
      <c r="E77" s="41">
        <v>2472.3000000000002</v>
      </c>
      <c r="F77" s="41">
        <v>2719.6</v>
      </c>
      <c r="G77" s="42">
        <v>3005.1</v>
      </c>
      <c r="H77" s="37" t="s">
        <v>53</v>
      </c>
    </row>
    <row r="78" spans="1:8" ht="14.25" thickTop="1" thickBot="1" x14ac:dyDescent="0.25">
      <c r="A78" s="38" t="s">
        <v>174</v>
      </c>
      <c r="B78" s="39" t="s">
        <v>175</v>
      </c>
      <c r="C78" s="40" t="s">
        <v>49</v>
      </c>
      <c r="D78" s="40">
        <v>12</v>
      </c>
      <c r="E78" s="41">
        <v>5341.2</v>
      </c>
      <c r="F78" s="41">
        <v>5875.5</v>
      </c>
      <c r="G78" s="42">
        <v>6492.4</v>
      </c>
      <c r="H78" s="37" t="s">
        <v>53</v>
      </c>
    </row>
    <row r="79" spans="1:8" ht="14.25" thickTop="1" thickBot="1" x14ac:dyDescent="0.25">
      <c r="A79" s="49" t="s">
        <v>176</v>
      </c>
      <c r="B79" s="50" t="s">
        <v>177</v>
      </c>
      <c r="C79" s="51" t="s">
        <v>49</v>
      </c>
      <c r="D79" s="51">
        <v>12</v>
      </c>
      <c r="E79" s="52">
        <v>5870.1</v>
      </c>
      <c r="F79" s="52">
        <v>6457.2</v>
      </c>
      <c r="G79" s="53">
        <v>7135.1</v>
      </c>
      <c r="H79" s="54" t="s">
        <v>53</v>
      </c>
    </row>
    <row r="80" spans="1:8" ht="13.5" thickTop="1" x14ac:dyDescent="0.2">
      <c r="A80" s="55"/>
      <c r="B80" s="56"/>
      <c r="C80" s="57"/>
      <c r="D80" s="57"/>
      <c r="E80" s="58"/>
      <c r="F80" s="58"/>
      <c r="G80" s="58"/>
      <c r="H80" s="59"/>
    </row>
    <row r="81" spans="1:8" x14ac:dyDescent="0.2">
      <c r="A81" s="55"/>
      <c r="B81" s="56"/>
      <c r="C81" s="57"/>
      <c r="D81" s="57"/>
      <c r="E81" s="58"/>
      <c r="F81" s="58"/>
      <c r="G81" s="58"/>
      <c r="H81" s="59"/>
    </row>
    <row r="82" spans="1:8" x14ac:dyDescent="0.2">
      <c r="A82" s="55"/>
      <c r="B82" s="56"/>
      <c r="C82" s="57"/>
      <c r="D82" s="57"/>
      <c r="E82" s="58"/>
      <c r="F82" s="58"/>
      <c r="G82" s="58"/>
      <c r="H82" s="59"/>
    </row>
    <row r="83" spans="1:8" x14ac:dyDescent="0.2">
      <c r="A83" s="55"/>
      <c r="B83" s="56"/>
      <c r="C83" s="57"/>
      <c r="D83" s="57"/>
      <c r="E83" s="58"/>
      <c r="F83" s="58"/>
      <c r="G83" s="58"/>
      <c r="H83" s="59"/>
    </row>
    <row r="84" spans="1:8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  <row r="87" spans="1:8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  <row r="91" spans="1:8" x14ac:dyDescent="0.2">
      <c r="A91" s="55"/>
      <c r="B91" s="56"/>
      <c r="C91" s="57"/>
      <c r="D91" s="57"/>
      <c r="E91" s="58"/>
      <c r="F91" s="58"/>
      <c r="G91" s="58"/>
      <c r="H91" s="59"/>
    </row>
    <row r="92" spans="1:8" x14ac:dyDescent="0.2">
      <c r="A92" s="55"/>
      <c r="B92" s="56"/>
      <c r="C92" s="57"/>
      <c r="D92" s="57"/>
      <c r="E92" s="58"/>
      <c r="F92" s="58"/>
      <c r="G92" s="58"/>
      <c r="H92" s="59"/>
    </row>
    <row r="93" spans="1:8" x14ac:dyDescent="0.2">
      <c r="A93" s="55"/>
      <c r="B93" s="56"/>
      <c r="C93" s="57"/>
      <c r="D93" s="57"/>
      <c r="E93" s="58"/>
      <c r="F93" s="58"/>
      <c r="G93" s="58"/>
      <c r="H93" s="59"/>
    </row>
    <row r="94" spans="1:8" x14ac:dyDescent="0.2">
      <c r="A94" s="55"/>
      <c r="B94" s="56"/>
      <c r="C94" s="57"/>
      <c r="D94" s="57"/>
      <c r="E94" s="58"/>
      <c r="F94" s="58"/>
      <c r="G94" s="58"/>
      <c r="H94" s="59"/>
    </row>
    <row r="95" spans="1:8" x14ac:dyDescent="0.2">
      <c r="A95" s="55"/>
      <c r="B95" s="56"/>
      <c r="C95" s="57"/>
      <c r="D95" s="57"/>
      <c r="E95" s="58"/>
      <c r="F95" s="58"/>
      <c r="G95" s="58"/>
      <c r="H95" s="59"/>
    </row>
    <row r="96" spans="1:8" x14ac:dyDescent="0.2">
      <c r="A96" s="55"/>
      <c r="B96" s="56"/>
      <c r="C96" s="57"/>
      <c r="D96" s="57"/>
      <c r="E96" s="58"/>
      <c r="F96" s="58"/>
      <c r="G96" s="58"/>
      <c r="H96" s="59"/>
    </row>
    <row r="97" spans="1:8" x14ac:dyDescent="0.2">
      <c r="A97" s="55"/>
      <c r="B97" s="56"/>
      <c r="C97" s="57"/>
      <c r="D97" s="57"/>
      <c r="E97" s="58"/>
      <c r="F97" s="58"/>
      <c r="G97" s="58"/>
      <c r="H97" s="59"/>
    </row>
    <row r="98" spans="1:8" x14ac:dyDescent="0.2">
      <c r="A98" s="55"/>
      <c r="B98" s="56"/>
      <c r="C98" s="57"/>
      <c r="D98" s="57"/>
      <c r="E98" s="58"/>
      <c r="F98" s="58"/>
      <c r="G98" s="58"/>
      <c r="H98" s="59"/>
    </row>
    <row r="99" spans="1:8" x14ac:dyDescent="0.2">
      <c r="A99" s="55"/>
      <c r="B99" s="56"/>
      <c r="C99" s="57"/>
      <c r="D99" s="57"/>
      <c r="E99" s="58"/>
      <c r="F99" s="58"/>
      <c r="G99" s="58"/>
      <c r="H99" s="59"/>
    </row>
    <row r="100" spans="1:8" x14ac:dyDescent="0.2">
      <c r="A100" s="55"/>
      <c r="B100" s="56"/>
      <c r="C100" s="57"/>
      <c r="D100" s="57"/>
      <c r="E100" s="58"/>
      <c r="F100" s="58"/>
      <c r="G100" s="58"/>
      <c r="H100" s="59"/>
    </row>
    <row r="101" spans="1:8" x14ac:dyDescent="0.2">
      <c r="A101" s="55"/>
      <c r="B101" s="56"/>
      <c r="C101" s="57"/>
      <c r="D101" s="57"/>
      <c r="E101" s="58"/>
      <c r="F101" s="58"/>
      <c r="G101" s="58"/>
      <c r="H101" s="59"/>
    </row>
    <row r="102" spans="1:8" x14ac:dyDescent="0.2">
      <c r="A102" s="55"/>
      <c r="B102" s="56"/>
      <c r="C102" s="57"/>
      <c r="D102" s="57"/>
      <c r="E102" s="58"/>
      <c r="F102" s="58"/>
      <c r="G102" s="58"/>
      <c r="H102" s="59"/>
    </row>
    <row r="103" spans="1:8" x14ac:dyDescent="0.2">
      <c r="A103" s="55"/>
      <c r="B103" s="56"/>
      <c r="C103" s="57"/>
      <c r="D103" s="57"/>
      <c r="E103" s="58"/>
      <c r="F103" s="58"/>
      <c r="G103" s="58"/>
      <c r="H103" s="59"/>
    </row>
    <row r="104" spans="1:8" x14ac:dyDescent="0.2">
      <c r="A104" s="55"/>
      <c r="B104" s="56"/>
      <c r="C104" s="57"/>
      <c r="D104" s="57"/>
      <c r="E104" s="58"/>
      <c r="F104" s="58"/>
      <c r="G104" s="58"/>
      <c r="H104" s="59"/>
    </row>
    <row r="105" spans="1:8" x14ac:dyDescent="0.2">
      <c r="A105" s="55"/>
      <c r="B105" s="56"/>
      <c r="C105" s="57"/>
      <c r="D105" s="57"/>
      <c r="E105" s="58"/>
      <c r="F105" s="58"/>
      <c r="G105" s="58"/>
      <c r="H105" s="59"/>
    </row>
    <row r="106" spans="1:8" x14ac:dyDescent="0.2">
      <c r="A106" s="55"/>
      <c r="B106" s="56"/>
      <c r="C106" s="57"/>
      <c r="D106" s="57"/>
      <c r="E106" s="58"/>
      <c r="F106" s="58"/>
      <c r="G106" s="58"/>
      <c r="H106" s="59"/>
    </row>
    <row r="107" spans="1:8" x14ac:dyDescent="0.2">
      <c r="A107" s="55"/>
      <c r="B107" s="56"/>
      <c r="C107" s="57"/>
      <c r="D107" s="57"/>
      <c r="E107" s="58"/>
      <c r="F107" s="58"/>
      <c r="G107" s="58"/>
      <c r="H107" s="59"/>
    </row>
    <row r="108" spans="1:8" x14ac:dyDescent="0.2">
      <c r="A108" s="55"/>
      <c r="B108" s="56"/>
      <c r="C108" s="57"/>
      <c r="D108" s="57"/>
      <c r="E108" s="58"/>
      <c r="F108" s="58"/>
      <c r="G108" s="58"/>
      <c r="H108" s="59"/>
    </row>
    <row r="109" spans="1:8" x14ac:dyDescent="0.2">
      <c r="A109" s="55"/>
      <c r="B109" s="56"/>
      <c r="C109" s="57"/>
      <c r="D109" s="57"/>
      <c r="E109" s="58"/>
      <c r="F109" s="58"/>
      <c r="G109" s="58"/>
      <c r="H109" s="59"/>
    </row>
    <row r="110" spans="1:8" x14ac:dyDescent="0.2">
      <c r="A110" s="55"/>
      <c r="B110" s="56"/>
      <c r="C110" s="57"/>
      <c r="D110" s="57"/>
      <c r="E110" s="58"/>
      <c r="F110" s="58"/>
      <c r="G110" s="58"/>
      <c r="H110" s="59"/>
    </row>
    <row r="111" spans="1:8" x14ac:dyDescent="0.2">
      <c r="A111" s="55"/>
      <c r="B111" s="56"/>
      <c r="C111" s="57"/>
      <c r="D111" s="57"/>
      <c r="E111" s="58"/>
      <c r="F111" s="58"/>
      <c r="G111" s="58"/>
      <c r="H111" s="59"/>
    </row>
    <row r="112" spans="1:8" x14ac:dyDescent="0.2">
      <c r="A112" s="55"/>
      <c r="B112" s="56"/>
      <c r="C112" s="57"/>
      <c r="D112" s="57"/>
      <c r="E112" s="58"/>
      <c r="F112" s="58"/>
      <c r="G112" s="58"/>
      <c r="H112" s="59"/>
    </row>
    <row r="113" spans="1:8" x14ac:dyDescent="0.2">
      <c r="A113" s="55"/>
      <c r="B113" s="56"/>
      <c r="C113" s="57"/>
      <c r="D113" s="57"/>
      <c r="E113" s="58"/>
      <c r="F113" s="58"/>
      <c r="G113" s="58"/>
      <c r="H113" s="59"/>
    </row>
    <row r="114" spans="1:8" x14ac:dyDescent="0.2">
      <c r="A114" s="55"/>
      <c r="B114" s="56"/>
      <c r="C114" s="57"/>
      <c r="D114" s="57"/>
      <c r="E114" s="58"/>
      <c r="F114" s="58"/>
      <c r="G114" s="58"/>
      <c r="H114" s="59"/>
    </row>
    <row r="115" spans="1:8" x14ac:dyDescent="0.2">
      <c r="A115" s="55"/>
      <c r="B115" s="56"/>
      <c r="C115" s="57"/>
      <c r="D115" s="57"/>
      <c r="E115" s="58"/>
      <c r="F115" s="58"/>
      <c r="G115" s="58"/>
      <c r="H115" s="59"/>
    </row>
    <row r="116" spans="1:8" x14ac:dyDescent="0.2">
      <c r="A116" s="55"/>
      <c r="B116" s="56"/>
      <c r="C116" s="57"/>
      <c r="D116" s="57"/>
      <c r="E116" s="58"/>
      <c r="F116" s="58"/>
      <c r="G116" s="58"/>
      <c r="H116" s="59"/>
    </row>
    <row r="117" spans="1:8" x14ac:dyDescent="0.2">
      <c r="A117" s="55"/>
      <c r="B117" s="56"/>
      <c r="C117" s="57"/>
      <c r="D117" s="57"/>
      <c r="E117" s="58"/>
      <c r="F117" s="58"/>
      <c r="G117" s="58"/>
      <c r="H117" s="59"/>
    </row>
    <row r="118" spans="1:8" x14ac:dyDescent="0.2">
      <c r="A118" s="55"/>
      <c r="B118" s="56"/>
      <c r="C118" s="57"/>
      <c r="D118" s="57"/>
      <c r="E118" s="58"/>
      <c r="F118" s="58"/>
      <c r="G118" s="58"/>
      <c r="H118" s="59"/>
    </row>
    <row r="119" spans="1:8" x14ac:dyDescent="0.2">
      <c r="A119" s="55"/>
      <c r="B119" s="56"/>
      <c r="C119" s="57"/>
      <c r="D119" s="57"/>
      <c r="E119" s="58"/>
      <c r="F119" s="58"/>
      <c r="G119" s="58"/>
      <c r="H119" s="59"/>
    </row>
    <row r="120" spans="1:8" x14ac:dyDescent="0.2">
      <c r="A120" s="55"/>
      <c r="B120" s="56"/>
      <c r="C120" s="57"/>
      <c r="D120" s="57"/>
      <c r="E120" s="58"/>
      <c r="F120" s="58"/>
      <c r="G120" s="58"/>
      <c r="H120" s="59"/>
    </row>
    <row r="121" spans="1:8" x14ac:dyDescent="0.2">
      <c r="A121" s="55"/>
      <c r="B121" s="56"/>
      <c r="C121" s="57"/>
      <c r="D121" s="57"/>
      <c r="E121" s="58"/>
      <c r="F121" s="58"/>
      <c r="G121" s="58"/>
      <c r="H121" s="59"/>
    </row>
    <row r="122" spans="1:8" x14ac:dyDescent="0.2">
      <c r="A122" s="55"/>
      <c r="B122" s="56"/>
      <c r="C122" s="57"/>
      <c r="D122" s="57"/>
      <c r="E122" s="58"/>
      <c r="F122" s="58"/>
      <c r="G122" s="58"/>
      <c r="H122" s="59"/>
    </row>
    <row r="123" spans="1:8" x14ac:dyDescent="0.2">
      <c r="A123" s="55"/>
      <c r="B123" s="56"/>
      <c r="C123" s="57"/>
      <c r="D123" s="57"/>
      <c r="E123" s="58"/>
      <c r="F123" s="58"/>
      <c r="G123" s="58"/>
      <c r="H123" s="59"/>
    </row>
    <row r="124" spans="1:8" x14ac:dyDescent="0.2">
      <c r="A124" s="55"/>
      <c r="B124" s="56"/>
      <c r="C124" s="57"/>
      <c r="D124" s="57"/>
      <c r="E124" s="58"/>
      <c r="F124" s="58"/>
      <c r="G124" s="58"/>
      <c r="H124" s="59"/>
    </row>
  </sheetData>
  <mergeCells count="22">
    <mergeCell ref="A1:B1"/>
    <mergeCell ref="A2:A3"/>
    <mergeCell ref="B2:B3"/>
    <mergeCell ref="C2:C3"/>
    <mergeCell ref="D2:D3"/>
    <mergeCell ref="H2:H3"/>
    <mergeCell ref="A7:G7"/>
    <mergeCell ref="A8:G8"/>
    <mergeCell ref="A9:G9"/>
    <mergeCell ref="A44:G44"/>
    <mergeCell ref="A18:G18"/>
    <mergeCell ref="E2:F2"/>
    <mergeCell ref="G2:G3"/>
    <mergeCell ref="A54:G54"/>
    <mergeCell ref="A65:G65"/>
    <mergeCell ref="A67:G67"/>
    <mergeCell ref="A20:G20"/>
    <mergeCell ref="A32:G32"/>
    <mergeCell ref="A39:G39"/>
    <mergeCell ref="A40:G40"/>
    <mergeCell ref="A41:G41"/>
    <mergeCell ref="A43:G43"/>
  </mergeCells>
  <phoneticPr fontId="0" type="noConversion"/>
  <conditionalFormatting sqref="C1:C2 D1:D3 C55:D62 C7:D31 C33:D35 C68:D78 C66:D66 C37:D38 C43:D53">
    <cfRule type="cellIs" dxfId="288" priority="19" stopIfTrue="1" operator="equal">
      <formula>0</formula>
    </cfRule>
  </conditionalFormatting>
  <conditionalFormatting sqref="C79:D79">
    <cfRule type="cellIs" dxfId="287" priority="18" stopIfTrue="1" operator="equal">
      <formula>0</formula>
    </cfRule>
  </conditionalFormatting>
  <conditionalFormatting sqref="C36:D36">
    <cfRule type="cellIs" dxfId="286" priority="17" stopIfTrue="1" operator="equal">
      <formula>0</formula>
    </cfRule>
  </conditionalFormatting>
  <conditionalFormatting sqref="C54:D54">
    <cfRule type="cellIs" dxfId="285" priority="16" stopIfTrue="1" operator="equal">
      <formula>0</formula>
    </cfRule>
  </conditionalFormatting>
  <conditionalFormatting sqref="C20:D20">
    <cfRule type="cellIs" dxfId="284" priority="15" stopIfTrue="1" operator="equal">
      <formula>0</formula>
    </cfRule>
  </conditionalFormatting>
  <conditionalFormatting sqref="C65:D65">
    <cfRule type="cellIs" dxfId="283" priority="14" stopIfTrue="1" operator="equal">
      <formula>0</formula>
    </cfRule>
  </conditionalFormatting>
  <conditionalFormatting sqref="C67:D67">
    <cfRule type="cellIs" dxfId="282" priority="13" stopIfTrue="1" operator="equal">
      <formula>0</formula>
    </cfRule>
  </conditionalFormatting>
  <conditionalFormatting sqref="C21:D31">
    <cfRule type="cellIs" dxfId="281" priority="11" stopIfTrue="1" operator="equal">
      <formula>0</formula>
    </cfRule>
  </conditionalFormatting>
  <conditionalFormatting sqref="C32:D34">
    <cfRule type="cellIs" dxfId="280" priority="10" stopIfTrue="1" operator="equal">
      <formula>0</formula>
    </cfRule>
  </conditionalFormatting>
  <conditionalFormatting sqref="C53:D53">
    <cfRule type="cellIs" dxfId="279" priority="9" stopIfTrue="1" operator="equal">
      <formula>0</formula>
    </cfRule>
  </conditionalFormatting>
  <conditionalFormatting sqref="C63:D64">
    <cfRule type="cellIs" dxfId="278" priority="8" stopIfTrue="1" operator="equal">
      <formula>0</formula>
    </cfRule>
  </conditionalFormatting>
  <conditionalFormatting sqref="C63:D64">
    <cfRule type="cellIs" dxfId="277" priority="7" stopIfTrue="1" operator="equal">
      <formula>0</formula>
    </cfRule>
  </conditionalFormatting>
  <conditionalFormatting sqref="C40:D40">
    <cfRule type="cellIs" dxfId="276" priority="5" stopIfTrue="1" operator="equal">
      <formula>0</formula>
    </cfRule>
  </conditionalFormatting>
  <conditionalFormatting sqref="D42">
    <cfRule type="cellIs" dxfId="275" priority="6" stopIfTrue="1" operator="equal">
      <formula>0</formula>
    </cfRule>
  </conditionalFormatting>
  <conditionalFormatting sqref="C41:D41">
    <cfRule type="cellIs" dxfId="274" priority="4" stopIfTrue="1" operator="equal">
      <formula>0</formula>
    </cfRule>
  </conditionalFormatting>
  <conditionalFormatting sqref="C42">
    <cfRule type="cellIs" dxfId="273" priority="3" stopIfTrue="1" operator="equal">
      <formula>0</formula>
    </cfRule>
  </conditionalFormatting>
  <conditionalFormatting sqref="C42">
    <cfRule type="cellIs" dxfId="272" priority="2" stopIfTrue="1" operator="equal">
      <formula>0</formula>
    </cfRule>
  </conditionalFormatting>
  <conditionalFormatting sqref="C18:D18">
    <cfRule type="cellIs" dxfId="271" priority="12" stopIfTrue="1" operator="equal">
      <formula>0</formula>
    </cfRule>
  </conditionalFormatting>
  <conditionalFormatting sqref="C80:D124">
    <cfRule type="cellIs" dxfId="270" priority="1" stopIfTrue="1" operator="equal">
      <formula>0</formula>
    </cfRule>
  </conditionalFormatting>
  <hyperlinks>
    <hyperlink ref="H27" location="'Изолента цвета'!A1" display="!!!"/>
    <hyperlink ref="H37" location="'Изолента цвета'!A1" display="!!!"/>
    <hyperlink ref="H40" location="'Изолента цвета'!A1" display="!!!"/>
    <hyperlink ref="H29" location="'Изолента цвета'!A1" display="!!!"/>
    <hyperlink ref="H31" location="'Изолента цвета'!A1" display="!!!"/>
    <hyperlink ref="H39" location="'Изолента цвета'!A1" display="!!!"/>
    <hyperlink ref="H42" location="'Изолента цвета'!A1" display="!!!"/>
    <hyperlink ref="H63" location="'Изолента цвета'!A1" display="!!!"/>
    <hyperlink ref="H46" location="'Изолента цвета'!A1" display="!!!"/>
    <hyperlink ref="H48" location="'Изолента цвета'!A1" display="!!!"/>
    <hyperlink ref="H56" location="'Изолента цвета'!A1" display="!!!"/>
    <hyperlink ref="H57" location="'Изолента цвета'!A1" display="!!!"/>
    <hyperlink ref="H59" location="'Изолента цвета'!A1" display="!!!"/>
  </hyperlinks>
  <printOptions verticalCentered="1"/>
  <pageMargins left="0.15748031496062992" right="0.15748031496062992" top="0.39370078740157483" bottom="0.39370078740157483" header="0" footer="0.23622047244094491"/>
  <pageSetup paperSize="9" scale="63" fitToHeight="6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80"/>
  <sheetViews>
    <sheetView zoomScale="80" zoomScaleNormal="80" workbookViewId="0">
      <pane ySplit="3" topLeftCell="A4" activePane="bottomLeft" state="frozen"/>
      <selection activeCell="H2" sqref="H2:H3"/>
    </sheetView>
  </sheetViews>
  <sheetFormatPr defaultRowHeight="12.75" x14ac:dyDescent="0.2"/>
  <cols>
    <col min="1" max="1" width="35.7109375" customWidth="1"/>
    <col min="2" max="2" width="86.5703125" customWidth="1"/>
    <col min="3" max="3" width="11.5703125" customWidth="1"/>
    <col min="4" max="4" width="10.140625" customWidth="1"/>
    <col min="5" max="5" width="10.85546875" customWidth="1"/>
    <col min="6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74.2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74.2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2.7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2.7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2.7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4.25" thickTop="1" thickBot="1" x14ac:dyDescent="0.25">
      <c r="A7" s="232" t="s">
        <v>43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60" t="s">
        <v>44</v>
      </c>
    </row>
    <row r="8" spans="1:8" ht="14.25" thickTop="1" thickBot="1" x14ac:dyDescent="0.25">
      <c r="A8" s="224" t="s">
        <v>106</v>
      </c>
      <c r="B8" s="225">
        <v>0</v>
      </c>
      <c r="C8" s="225">
        <v>0</v>
      </c>
      <c r="D8" s="225">
        <v>0</v>
      </c>
      <c r="E8" s="225">
        <v>0</v>
      </c>
      <c r="F8" s="225">
        <v>0</v>
      </c>
      <c r="G8" s="226">
        <v>0</v>
      </c>
      <c r="H8" s="37" t="s">
        <v>44</v>
      </c>
    </row>
    <row r="9" spans="1:8" ht="14.25" thickTop="1" thickBot="1" x14ac:dyDescent="0.25">
      <c r="A9" s="221" t="s">
        <v>92</v>
      </c>
      <c r="B9" s="222">
        <v>0</v>
      </c>
      <c r="C9" s="222">
        <v>0</v>
      </c>
      <c r="D9" s="222">
        <v>0</v>
      </c>
      <c r="E9" s="222">
        <v>0</v>
      </c>
      <c r="F9" s="222">
        <v>0</v>
      </c>
      <c r="G9" s="223">
        <v>0</v>
      </c>
      <c r="H9" s="37" t="s">
        <v>44</v>
      </c>
    </row>
    <row r="10" spans="1:8" ht="27" thickTop="1" thickBot="1" x14ac:dyDescent="0.25">
      <c r="A10" s="45" t="s">
        <v>107</v>
      </c>
      <c r="B10" s="39" t="s">
        <v>108</v>
      </c>
      <c r="C10" s="40" t="s">
        <v>49</v>
      </c>
      <c r="D10" s="40">
        <v>100</v>
      </c>
      <c r="E10" s="46">
        <v>429.2</v>
      </c>
      <c r="F10" s="46">
        <v>467.7</v>
      </c>
      <c r="G10" s="47">
        <v>516</v>
      </c>
      <c r="H10" s="37" t="s">
        <v>53</v>
      </c>
    </row>
    <row r="11" spans="1:8" ht="14.25" thickTop="1" thickBot="1" x14ac:dyDescent="0.25">
      <c r="A11" s="224" t="s">
        <v>110</v>
      </c>
      <c r="B11" s="225">
        <v>0</v>
      </c>
      <c r="C11" s="225">
        <v>0</v>
      </c>
      <c r="D11" s="225">
        <v>0</v>
      </c>
      <c r="E11" s="225">
        <v>0</v>
      </c>
      <c r="F11" s="225">
        <v>0</v>
      </c>
      <c r="G11" s="226">
        <v>0</v>
      </c>
      <c r="H11" s="37" t="s">
        <v>44</v>
      </c>
    </row>
    <row r="12" spans="1:8" ht="14.25" thickTop="1" thickBot="1" x14ac:dyDescent="0.25">
      <c r="A12" s="221" t="s">
        <v>46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3">
        <v>0</v>
      </c>
      <c r="H12" s="37" t="s">
        <v>44</v>
      </c>
    </row>
    <row r="13" spans="1:8" ht="14.25" thickTop="1" thickBot="1" x14ac:dyDescent="0.25">
      <c r="A13" s="38" t="s">
        <v>178</v>
      </c>
      <c r="B13" s="39" t="s">
        <v>179</v>
      </c>
      <c r="C13" s="40" t="s">
        <v>49</v>
      </c>
      <c r="D13" s="40">
        <v>200</v>
      </c>
      <c r="E13" s="41">
        <v>163</v>
      </c>
      <c r="F13" s="41">
        <v>178</v>
      </c>
      <c r="G13" s="42">
        <v>197</v>
      </c>
      <c r="H13" s="37" t="s">
        <v>53</v>
      </c>
    </row>
    <row r="14" spans="1:8" ht="14.25" thickTop="1" thickBot="1" x14ac:dyDescent="0.25">
      <c r="A14" s="38" t="s">
        <v>180</v>
      </c>
      <c r="B14" s="39" t="s">
        <v>181</v>
      </c>
      <c r="C14" s="40" t="s">
        <v>49</v>
      </c>
      <c r="D14" s="40">
        <v>200</v>
      </c>
      <c r="E14" s="41">
        <v>163</v>
      </c>
      <c r="F14" s="41">
        <v>178</v>
      </c>
      <c r="G14" s="42">
        <v>197</v>
      </c>
      <c r="H14" s="37" t="s">
        <v>53</v>
      </c>
    </row>
    <row r="15" spans="1:8" ht="14.25" thickTop="1" thickBot="1" x14ac:dyDescent="0.25">
      <c r="A15" s="38" t="s">
        <v>182</v>
      </c>
      <c r="B15" s="39" t="s">
        <v>183</v>
      </c>
      <c r="C15" s="40" t="s">
        <v>49</v>
      </c>
      <c r="D15" s="40">
        <v>200</v>
      </c>
      <c r="E15" s="41">
        <v>163</v>
      </c>
      <c r="F15" s="41">
        <v>178</v>
      </c>
      <c r="G15" s="42">
        <v>197</v>
      </c>
      <c r="H15" s="37" t="s">
        <v>53</v>
      </c>
    </row>
    <row r="16" spans="1:8" ht="14.25" thickTop="1" thickBot="1" x14ac:dyDescent="0.25">
      <c r="A16" s="38" t="s">
        <v>184</v>
      </c>
      <c r="B16" s="39" t="s">
        <v>185</v>
      </c>
      <c r="C16" s="40" t="s">
        <v>49</v>
      </c>
      <c r="D16" s="40">
        <v>200</v>
      </c>
      <c r="E16" s="41">
        <v>163</v>
      </c>
      <c r="F16" s="41">
        <v>178</v>
      </c>
      <c r="G16" s="42">
        <v>197</v>
      </c>
      <c r="H16" s="37" t="s">
        <v>53</v>
      </c>
    </row>
    <row r="17" spans="1:8" ht="14.25" thickTop="1" thickBot="1" x14ac:dyDescent="0.25">
      <c r="A17" s="38" t="s">
        <v>186</v>
      </c>
      <c r="B17" s="39" t="s">
        <v>187</v>
      </c>
      <c r="C17" s="40" t="s">
        <v>49</v>
      </c>
      <c r="D17" s="40">
        <v>200</v>
      </c>
      <c r="E17" s="41">
        <v>163</v>
      </c>
      <c r="F17" s="41">
        <v>178</v>
      </c>
      <c r="G17" s="42">
        <v>197</v>
      </c>
      <c r="H17" s="37" t="s">
        <v>53</v>
      </c>
    </row>
    <row r="18" spans="1:8" ht="14.25" thickTop="1" thickBot="1" x14ac:dyDescent="0.25">
      <c r="A18" s="38" t="s">
        <v>188</v>
      </c>
      <c r="B18" s="39" t="s">
        <v>189</v>
      </c>
      <c r="C18" s="40" t="s">
        <v>49</v>
      </c>
      <c r="D18" s="40">
        <v>200</v>
      </c>
      <c r="E18" s="41">
        <v>163</v>
      </c>
      <c r="F18" s="41">
        <v>178</v>
      </c>
      <c r="G18" s="42">
        <v>197</v>
      </c>
      <c r="H18" s="37" t="s">
        <v>53</v>
      </c>
    </row>
    <row r="19" spans="1:8" ht="14.25" thickTop="1" thickBot="1" x14ac:dyDescent="0.25">
      <c r="A19" s="38" t="s">
        <v>190</v>
      </c>
      <c r="B19" s="39" t="s">
        <v>191</v>
      </c>
      <c r="C19" s="40" t="s">
        <v>49</v>
      </c>
      <c r="D19" s="40">
        <v>200</v>
      </c>
      <c r="E19" s="41">
        <v>163</v>
      </c>
      <c r="F19" s="41">
        <v>178</v>
      </c>
      <c r="G19" s="42">
        <v>197</v>
      </c>
      <c r="H19" s="37" t="s">
        <v>53</v>
      </c>
    </row>
    <row r="20" spans="1:8" ht="14.25" thickTop="1" thickBot="1" x14ac:dyDescent="0.25">
      <c r="A20" s="38" t="s">
        <v>192</v>
      </c>
      <c r="B20" s="39" t="s">
        <v>193</v>
      </c>
      <c r="C20" s="40" t="s">
        <v>49</v>
      </c>
      <c r="D20" s="40">
        <v>200</v>
      </c>
      <c r="E20" s="41">
        <v>163</v>
      </c>
      <c r="F20" s="41">
        <v>178</v>
      </c>
      <c r="G20" s="42">
        <v>197</v>
      </c>
      <c r="H20" s="37" t="s">
        <v>53</v>
      </c>
    </row>
    <row r="21" spans="1:8" ht="14.25" thickTop="1" thickBot="1" x14ac:dyDescent="0.25">
      <c r="A21" s="38" t="s">
        <v>194</v>
      </c>
      <c r="B21" s="39" t="s">
        <v>195</v>
      </c>
      <c r="C21" s="40" t="s">
        <v>49</v>
      </c>
      <c r="D21" s="40">
        <v>200</v>
      </c>
      <c r="E21" s="41">
        <v>163</v>
      </c>
      <c r="F21" s="41">
        <v>178</v>
      </c>
      <c r="G21" s="42">
        <v>197</v>
      </c>
      <c r="H21" s="37" t="s">
        <v>53</v>
      </c>
    </row>
    <row r="22" spans="1:8" ht="14.25" thickTop="1" thickBot="1" x14ac:dyDescent="0.25">
      <c r="A22" s="38" t="s">
        <v>117</v>
      </c>
      <c r="B22" s="39" t="s">
        <v>118</v>
      </c>
      <c r="C22" s="40" t="s">
        <v>49</v>
      </c>
      <c r="D22" s="40">
        <v>200</v>
      </c>
      <c r="E22" s="41">
        <v>190.6</v>
      </c>
      <c r="F22" s="41">
        <v>209.5</v>
      </c>
      <c r="G22" s="42">
        <v>232.4</v>
      </c>
      <c r="H22" s="37" t="s">
        <v>53</v>
      </c>
    </row>
    <row r="23" spans="1:8" ht="14.25" thickTop="1" thickBot="1" x14ac:dyDescent="0.25">
      <c r="A23" s="221" t="s">
        <v>92</v>
      </c>
      <c r="B23" s="222">
        <v>0</v>
      </c>
      <c r="C23" s="222">
        <v>0</v>
      </c>
      <c r="D23" s="222">
        <v>0</v>
      </c>
      <c r="E23" s="222">
        <v>0</v>
      </c>
      <c r="F23" s="222">
        <v>0</v>
      </c>
      <c r="G23" s="223">
        <v>0</v>
      </c>
      <c r="H23" s="37" t="s">
        <v>44</v>
      </c>
    </row>
    <row r="24" spans="1:8" ht="14.25" thickTop="1" thickBot="1" x14ac:dyDescent="0.25">
      <c r="A24" s="38" t="s">
        <v>134</v>
      </c>
      <c r="B24" s="39" t="s">
        <v>135</v>
      </c>
      <c r="C24" s="40" t="s">
        <v>49</v>
      </c>
      <c r="D24" s="40">
        <v>500</v>
      </c>
      <c r="E24" s="41">
        <v>47.8</v>
      </c>
      <c r="F24" s="41">
        <v>53</v>
      </c>
      <c r="G24" s="42">
        <v>58</v>
      </c>
      <c r="H24" s="37" t="s">
        <v>50</v>
      </c>
    </row>
    <row r="25" spans="1:8" ht="14.25" thickTop="1" thickBot="1" x14ac:dyDescent="0.25">
      <c r="A25" s="38" t="s">
        <v>196</v>
      </c>
      <c r="B25" s="39" t="s">
        <v>197</v>
      </c>
      <c r="C25" s="40" t="s">
        <v>49</v>
      </c>
      <c r="D25" s="40">
        <v>500</v>
      </c>
      <c r="E25" s="41">
        <v>41.7</v>
      </c>
      <c r="F25" s="41">
        <v>46.8</v>
      </c>
      <c r="G25" s="42">
        <v>51.7</v>
      </c>
      <c r="H25" s="37" t="s">
        <v>53</v>
      </c>
    </row>
    <row r="26" spans="1:8" ht="14.25" thickTop="1" thickBot="1" x14ac:dyDescent="0.25">
      <c r="A26" s="38" t="s">
        <v>198</v>
      </c>
      <c r="B26" s="39" t="s">
        <v>199</v>
      </c>
      <c r="C26" s="40" t="s">
        <v>49</v>
      </c>
      <c r="D26" s="40">
        <v>500</v>
      </c>
      <c r="E26" s="41">
        <v>41.7</v>
      </c>
      <c r="F26" s="41">
        <v>46.8</v>
      </c>
      <c r="G26" s="42">
        <v>51.7</v>
      </c>
      <c r="H26" s="37" t="s">
        <v>53</v>
      </c>
    </row>
    <row r="27" spans="1:8" ht="14.25" thickTop="1" thickBot="1" x14ac:dyDescent="0.25">
      <c r="A27" s="38" t="s">
        <v>200</v>
      </c>
      <c r="B27" s="39" t="s">
        <v>201</v>
      </c>
      <c r="C27" s="40" t="s">
        <v>49</v>
      </c>
      <c r="D27" s="40">
        <v>500</v>
      </c>
      <c r="E27" s="41">
        <v>41.7</v>
      </c>
      <c r="F27" s="41">
        <v>46.8</v>
      </c>
      <c r="G27" s="42">
        <v>51.7</v>
      </c>
      <c r="H27" s="37" t="s">
        <v>53</v>
      </c>
    </row>
    <row r="28" spans="1:8" ht="14.25" thickTop="1" thickBot="1" x14ac:dyDescent="0.25">
      <c r="A28" s="38" t="s">
        <v>202</v>
      </c>
      <c r="B28" s="39" t="s">
        <v>203</v>
      </c>
      <c r="C28" s="40" t="s">
        <v>49</v>
      </c>
      <c r="D28" s="40">
        <v>500</v>
      </c>
      <c r="E28" s="41">
        <v>41.7</v>
      </c>
      <c r="F28" s="41">
        <v>46.8</v>
      </c>
      <c r="G28" s="42">
        <v>51.7</v>
      </c>
      <c r="H28" s="37" t="s">
        <v>53</v>
      </c>
    </row>
    <row r="29" spans="1:8" ht="14.25" thickTop="1" thickBot="1" x14ac:dyDescent="0.25">
      <c r="A29" s="38" t="s">
        <v>204</v>
      </c>
      <c r="B29" s="39" t="s">
        <v>205</v>
      </c>
      <c r="C29" s="40" t="s">
        <v>49</v>
      </c>
      <c r="D29" s="40">
        <v>500</v>
      </c>
      <c r="E29" s="41">
        <v>41.7</v>
      </c>
      <c r="F29" s="41">
        <v>46.8</v>
      </c>
      <c r="G29" s="42">
        <v>51.7</v>
      </c>
      <c r="H29" s="37" t="s">
        <v>53</v>
      </c>
    </row>
    <row r="30" spans="1:8" ht="14.25" thickTop="1" thickBot="1" x14ac:dyDescent="0.25">
      <c r="A30" s="38" t="s">
        <v>206</v>
      </c>
      <c r="B30" s="39" t="s">
        <v>207</v>
      </c>
      <c r="C30" s="40" t="s">
        <v>49</v>
      </c>
      <c r="D30" s="40">
        <v>250</v>
      </c>
      <c r="E30" s="41">
        <v>87.5</v>
      </c>
      <c r="F30" s="41">
        <v>96.9</v>
      </c>
      <c r="G30" s="42">
        <v>106.3</v>
      </c>
      <c r="H30" s="37" t="s">
        <v>53</v>
      </c>
    </row>
    <row r="31" spans="1:8" ht="14.25" thickTop="1" thickBot="1" x14ac:dyDescent="0.25">
      <c r="A31" s="38" t="s">
        <v>208</v>
      </c>
      <c r="B31" s="39" t="s">
        <v>209</v>
      </c>
      <c r="C31" s="40" t="s">
        <v>49</v>
      </c>
      <c r="D31" s="40">
        <v>250</v>
      </c>
      <c r="E31" s="41">
        <v>87.5</v>
      </c>
      <c r="F31" s="41">
        <v>96.9</v>
      </c>
      <c r="G31" s="42">
        <v>106.3</v>
      </c>
      <c r="H31" s="37" t="s">
        <v>53</v>
      </c>
    </row>
    <row r="32" spans="1:8" ht="14.25" thickTop="1" thickBot="1" x14ac:dyDescent="0.25">
      <c r="A32" s="38" t="s">
        <v>210</v>
      </c>
      <c r="B32" s="39" t="s">
        <v>211</v>
      </c>
      <c r="C32" s="40" t="s">
        <v>49</v>
      </c>
      <c r="D32" s="40">
        <v>250</v>
      </c>
      <c r="E32" s="41">
        <v>87.5</v>
      </c>
      <c r="F32" s="41">
        <v>96.9</v>
      </c>
      <c r="G32" s="42">
        <v>106.3</v>
      </c>
      <c r="H32" s="37" t="s">
        <v>53</v>
      </c>
    </row>
    <row r="33" spans="1:8" ht="14.25" thickTop="1" thickBot="1" x14ac:dyDescent="0.25">
      <c r="A33" s="38" t="s">
        <v>212</v>
      </c>
      <c r="B33" s="39" t="s">
        <v>213</v>
      </c>
      <c r="C33" s="40" t="s">
        <v>49</v>
      </c>
      <c r="D33" s="40">
        <v>250</v>
      </c>
      <c r="E33" s="41">
        <v>87.5</v>
      </c>
      <c r="F33" s="41">
        <v>96.9</v>
      </c>
      <c r="G33" s="42">
        <v>106.3</v>
      </c>
      <c r="H33" s="37" t="s">
        <v>53</v>
      </c>
    </row>
    <row r="34" spans="1:8" ht="14.25" thickTop="1" thickBot="1" x14ac:dyDescent="0.25">
      <c r="A34" s="38" t="s">
        <v>214</v>
      </c>
      <c r="B34" s="39" t="s">
        <v>215</v>
      </c>
      <c r="C34" s="40" t="s">
        <v>49</v>
      </c>
      <c r="D34" s="40">
        <v>250</v>
      </c>
      <c r="E34" s="41">
        <v>87.5</v>
      </c>
      <c r="F34" s="41">
        <v>96.9</v>
      </c>
      <c r="G34" s="42">
        <v>106.3</v>
      </c>
      <c r="H34" s="37" t="s">
        <v>53</v>
      </c>
    </row>
    <row r="35" spans="1:8" ht="48" customHeight="1" thickTop="1" thickBot="1" x14ac:dyDescent="0.25">
      <c r="A35" s="61" t="s">
        <v>146</v>
      </c>
      <c r="B35" s="50" t="s">
        <v>147</v>
      </c>
      <c r="C35" s="51" t="s">
        <v>129</v>
      </c>
      <c r="D35" s="51">
        <v>200</v>
      </c>
      <c r="E35" s="62">
        <v>91</v>
      </c>
      <c r="F35" s="62">
        <v>99.6</v>
      </c>
      <c r="G35" s="63">
        <v>111.1</v>
      </c>
      <c r="H35" s="54" t="s">
        <v>53</v>
      </c>
    </row>
    <row r="36" spans="1:8" ht="13.5" thickTop="1" x14ac:dyDescent="0.2">
      <c r="A36" s="55"/>
      <c r="B36" s="56"/>
      <c r="C36" s="57"/>
      <c r="D36" s="57"/>
      <c r="E36" s="58"/>
      <c r="F36" s="58"/>
      <c r="G36" s="58"/>
      <c r="H36" s="59"/>
    </row>
    <row r="37" spans="1:8" x14ac:dyDescent="0.2">
      <c r="A37" s="55"/>
      <c r="B37" s="56"/>
      <c r="C37" s="57"/>
      <c r="D37" s="57"/>
      <c r="E37" s="58"/>
      <c r="F37" s="58"/>
      <c r="G37" s="58"/>
      <c r="H37" s="59"/>
    </row>
    <row r="38" spans="1:8" x14ac:dyDescent="0.2">
      <c r="A38" s="55"/>
      <c r="B38" s="56"/>
      <c r="C38" s="57"/>
      <c r="D38" s="57"/>
      <c r="E38" s="58"/>
      <c r="F38" s="58"/>
      <c r="G38" s="58"/>
      <c r="H38" s="59"/>
    </row>
    <row r="39" spans="1:8" x14ac:dyDescent="0.2">
      <c r="A39" s="55"/>
      <c r="B39" s="56"/>
      <c r="C39" s="57"/>
      <c r="D39" s="57"/>
      <c r="E39" s="58"/>
      <c r="F39" s="58"/>
      <c r="G39" s="58"/>
      <c r="H39" s="59"/>
    </row>
    <row r="40" spans="1:8" x14ac:dyDescent="0.2">
      <c r="A40" s="55"/>
      <c r="B40" s="56"/>
      <c r="C40" s="57"/>
      <c r="D40" s="57"/>
      <c r="E40" s="58"/>
      <c r="F40" s="58"/>
      <c r="G40" s="58"/>
      <c r="H40" s="59"/>
    </row>
    <row r="41" spans="1:8" x14ac:dyDescent="0.2">
      <c r="A41" s="55"/>
      <c r="B41" s="56"/>
      <c r="C41" s="57"/>
      <c r="D41" s="57"/>
      <c r="E41" s="58"/>
      <c r="F41" s="58"/>
      <c r="G41" s="58"/>
      <c r="H41" s="59"/>
    </row>
    <row r="42" spans="1:8" x14ac:dyDescent="0.2">
      <c r="A42" s="55"/>
      <c r="B42" s="56"/>
      <c r="C42" s="57"/>
      <c r="D42" s="57"/>
      <c r="E42" s="58"/>
      <c r="F42" s="58"/>
      <c r="G42" s="58"/>
      <c r="H42" s="59"/>
    </row>
    <row r="43" spans="1:8" x14ac:dyDescent="0.2">
      <c r="A43" s="55"/>
      <c r="B43" s="56"/>
      <c r="C43" s="57"/>
      <c r="D43" s="57"/>
      <c r="E43" s="58"/>
      <c r="F43" s="58"/>
      <c r="G43" s="58"/>
      <c r="H43" s="59"/>
    </row>
    <row r="44" spans="1:8" x14ac:dyDescent="0.2">
      <c r="A44" s="55"/>
      <c r="B44" s="56"/>
      <c r="C44" s="57"/>
      <c r="D44" s="57"/>
      <c r="E44" s="58"/>
      <c r="F44" s="58"/>
      <c r="G44" s="58"/>
      <c r="H44" s="59"/>
    </row>
    <row r="45" spans="1:8" x14ac:dyDescent="0.2">
      <c r="A45" s="55"/>
      <c r="B45" s="56"/>
      <c r="C45" s="57"/>
      <c r="D45" s="57"/>
      <c r="E45" s="58"/>
      <c r="F45" s="58"/>
      <c r="G45" s="58"/>
      <c r="H45" s="59"/>
    </row>
    <row r="46" spans="1:8" x14ac:dyDescent="0.2">
      <c r="A46" s="55"/>
      <c r="B46" s="56"/>
      <c r="C46" s="57"/>
      <c r="D46" s="57"/>
      <c r="E46" s="58"/>
      <c r="F46" s="58"/>
      <c r="G46" s="58"/>
      <c r="H46" s="59"/>
    </row>
    <row r="47" spans="1:8" x14ac:dyDescent="0.2">
      <c r="A47" s="55"/>
      <c r="B47" s="56"/>
      <c r="C47" s="57"/>
      <c r="D47" s="57"/>
      <c r="E47" s="58"/>
      <c r="F47" s="58"/>
      <c r="G47" s="58"/>
      <c r="H47" s="59"/>
    </row>
    <row r="48" spans="1:8" x14ac:dyDescent="0.2">
      <c r="A48" s="55"/>
      <c r="B48" s="56"/>
      <c r="C48" s="57"/>
      <c r="D48" s="57"/>
      <c r="E48" s="58"/>
      <c r="F48" s="58"/>
      <c r="G48" s="58"/>
      <c r="H48" s="59"/>
    </row>
    <row r="49" spans="1:8" x14ac:dyDescent="0.2">
      <c r="A49" s="55"/>
      <c r="B49" s="56"/>
      <c r="C49" s="57"/>
      <c r="D49" s="57"/>
      <c r="E49" s="58"/>
      <c r="F49" s="58"/>
      <c r="G49" s="58"/>
      <c r="H49" s="59"/>
    </row>
    <row r="50" spans="1:8" x14ac:dyDescent="0.2">
      <c r="A50" s="55"/>
      <c r="B50" s="56"/>
      <c r="C50" s="57"/>
      <c r="D50" s="57"/>
      <c r="E50" s="58"/>
      <c r="F50" s="58"/>
      <c r="G50" s="58"/>
      <c r="H50" s="59"/>
    </row>
    <row r="51" spans="1:8" x14ac:dyDescent="0.2">
      <c r="A51" s="55"/>
      <c r="B51" s="56"/>
      <c r="C51" s="57"/>
      <c r="D51" s="57"/>
      <c r="E51" s="58"/>
      <c r="F51" s="58"/>
      <c r="G51" s="58"/>
      <c r="H51" s="59"/>
    </row>
    <row r="52" spans="1:8" x14ac:dyDescent="0.2">
      <c r="A52" s="55"/>
      <c r="B52" s="56"/>
      <c r="C52" s="57"/>
      <c r="D52" s="57"/>
      <c r="E52" s="58"/>
      <c r="F52" s="58"/>
      <c r="G52" s="58"/>
      <c r="H52" s="59"/>
    </row>
    <row r="53" spans="1:8" x14ac:dyDescent="0.2">
      <c r="A53" s="55"/>
      <c r="B53" s="56"/>
      <c r="C53" s="57"/>
      <c r="D53" s="57"/>
      <c r="E53" s="58"/>
      <c r="F53" s="58"/>
      <c r="G53" s="58"/>
      <c r="H53" s="59"/>
    </row>
    <row r="54" spans="1:8" x14ac:dyDescent="0.2">
      <c r="A54" s="55"/>
      <c r="B54" s="56"/>
      <c r="C54" s="57"/>
      <c r="D54" s="57"/>
      <c r="E54" s="58"/>
      <c r="F54" s="58"/>
      <c r="G54" s="58"/>
      <c r="H54" s="59"/>
    </row>
    <row r="55" spans="1:8" x14ac:dyDescent="0.2">
      <c r="A55" s="55"/>
      <c r="B55" s="56"/>
      <c r="C55" s="57"/>
      <c r="D55" s="57"/>
      <c r="E55" s="58"/>
      <c r="F55" s="58"/>
      <c r="G55" s="58"/>
      <c r="H55" s="59"/>
    </row>
    <row r="56" spans="1:8" x14ac:dyDescent="0.2">
      <c r="A56" s="55"/>
      <c r="B56" s="56"/>
      <c r="C56" s="57"/>
      <c r="D56" s="57"/>
      <c r="E56" s="58"/>
      <c r="F56" s="58"/>
      <c r="G56" s="58"/>
      <c r="H56" s="59"/>
    </row>
    <row r="57" spans="1:8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  <row r="68" spans="1:8" x14ac:dyDescent="0.2">
      <c r="A68" s="55"/>
      <c r="B68" s="56"/>
      <c r="C68" s="57"/>
      <c r="D68" s="57"/>
      <c r="E68" s="58"/>
      <c r="F68" s="58"/>
      <c r="G68" s="58"/>
      <c r="H68" s="59"/>
    </row>
    <row r="69" spans="1:8" x14ac:dyDescent="0.2">
      <c r="A69" s="55"/>
      <c r="B69" s="56"/>
      <c r="C69" s="57"/>
      <c r="D69" s="57"/>
      <c r="E69" s="58"/>
      <c r="F69" s="58"/>
      <c r="G69" s="58"/>
      <c r="H69" s="59"/>
    </row>
    <row r="70" spans="1:8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  <row r="72" spans="1:8" x14ac:dyDescent="0.2">
      <c r="A72" s="55"/>
      <c r="B72" s="56"/>
      <c r="C72" s="57"/>
      <c r="D72" s="57"/>
      <c r="E72" s="58"/>
      <c r="F72" s="58"/>
      <c r="G72" s="58"/>
      <c r="H72" s="59"/>
    </row>
    <row r="73" spans="1:8" x14ac:dyDescent="0.2">
      <c r="A73" s="55"/>
      <c r="B73" s="56"/>
      <c r="C73" s="57"/>
      <c r="D73" s="57"/>
      <c r="E73" s="58"/>
      <c r="F73" s="58"/>
      <c r="G73" s="58"/>
      <c r="H73" s="59"/>
    </row>
    <row r="74" spans="1:8" x14ac:dyDescent="0.2">
      <c r="A74" s="55"/>
      <c r="B74" s="56"/>
      <c r="C74" s="57"/>
      <c r="D74" s="57"/>
      <c r="E74" s="58"/>
      <c r="F74" s="58"/>
      <c r="G74" s="58"/>
      <c r="H74" s="59"/>
    </row>
    <row r="75" spans="1:8" x14ac:dyDescent="0.2">
      <c r="A75" s="55"/>
      <c r="B75" s="56"/>
      <c r="C75" s="57"/>
      <c r="D75" s="57"/>
      <c r="E75" s="58"/>
      <c r="F75" s="58"/>
      <c r="G75" s="58"/>
      <c r="H75" s="59"/>
    </row>
    <row r="76" spans="1:8" x14ac:dyDescent="0.2">
      <c r="A76" s="55"/>
      <c r="B76" s="56"/>
      <c r="C76" s="57"/>
      <c r="D76" s="57"/>
      <c r="E76" s="58"/>
      <c r="F76" s="58"/>
      <c r="G76" s="58"/>
      <c r="H76" s="59"/>
    </row>
    <row r="77" spans="1:8" x14ac:dyDescent="0.2">
      <c r="A77" s="55"/>
      <c r="B77" s="56"/>
      <c r="C77" s="57"/>
      <c r="D77" s="57"/>
      <c r="E77" s="58"/>
      <c r="F77" s="58"/>
      <c r="G77" s="58"/>
      <c r="H77" s="59"/>
    </row>
    <row r="78" spans="1:8" x14ac:dyDescent="0.2">
      <c r="A78" s="55"/>
      <c r="B78" s="56"/>
      <c r="C78" s="57"/>
      <c r="D78" s="57"/>
      <c r="E78" s="58"/>
      <c r="F78" s="58"/>
      <c r="G78" s="58"/>
      <c r="H78" s="59"/>
    </row>
    <row r="79" spans="1:8" x14ac:dyDescent="0.2">
      <c r="A79" s="55"/>
      <c r="B79" s="56"/>
      <c r="C79" s="57"/>
      <c r="D79" s="57"/>
      <c r="E79" s="58"/>
      <c r="F79" s="58"/>
      <c r="G79" s="58"/>
      <c r="H79" s="59"/>
    </row>
    <row r="80" spans="1:8" x14ac:dyDescent="0.2">
      <c r="A80" s="55"/>
      <c r="B80" s="56"/>
      <c r="C80" s="57"/>
      <c r="D80" s="57"/>
      <c r="E80" s="58"/>
      <c r="F80" s="58"/>
      <c r="G80" s="58"/>
      <c r="H80" s="59"/>
    </row>
  </sheetData>
  <mergeCells count="14">
    <mergeCell ref="A1:B1"/>
    <mergeCell ref="A2:A3"/>
    <mergeCell ref="B2:B3"/>
    <mergeCell ref="C2:C3"/>
    <mergeCell ref="D2:D3"/>
    <mergeCell ref="A12:G12"/>
    <mergeCell ref="A23:G23"/>
    <mergeCell ref="G2:G3"/>
    <mergeCell ref="H2:H3"/>
    <mergeCell ref="A7:G7"/>
    <mergeCell ref="A8:G8"/>
    <mergeCell ref="A9:G9"/>
    <mergeCell ref="A11:G11"/>
    <mergeCell ref="E2:F2"/>
  </mergeCells>
  <conditionalFormatting sqref="C29:D32 C22:D22 C11:D12 C7:D7 C1:C2 D1:D3">
    <cfRule type="cellIs" dxfId="269" priority="20" stopIfTrue="1" operator="equal">
      <formula>0</formula>
    </cfRule>
  </conditionalFormatting>
  <conditionalFormatting sqref="C23:D23">
    <cfRule type="cellIs" dxfId="268" priority="17" stopIfTrue="1" operator="equal">
      <formula>0</formula>
    </cfRule>
  </conditionalFormatting>
  <conditionalFormatting sqref="C24:D28">
    <cfRule type="cellIs" dxfId="267" priority="16" stopIfTrue="1" operator="equal">
      <formula>0</formula>
    </cfRule>
  </conditionalFormatting>
  <conditionalFormatting sqref="C24:D26">
    <cfRule type="cellIs" dxfId="266" priority="15" stopIfTrue="1" operator="equal">
      <formula>0</formula>
    </cfRule>
  </conditionalFormatting>
  <conditionalFormatting sqref="C13:D21">
    <cfRule type="cellIs" dxfId="265" priority="13" stopIfTrue="1" operator="equal">
      <formula>0</formula>
    </cfRule>
  </conditionalFormatting>
  <conditionalFormatting sqref="C34:D34">
    <cfRule type="cellIs" dxfId="264" priority="11" stopIfTrue="1" operator="equal">
      <formula>0</formula>
    </cfRule>
  </conditionalFormatting>
  <conditionalFormatting sqref="C34:D34">
    <cfRule type="cellIs" dxfId="263" priority="12" stopIfTrue="1" operator="equal">
      <formula>0</formula>
    </cfRule>
  </conditionalFormatting>
  <conditionalFormatting sqref="C33:D33">
    <cfRule type="cellIs" dxfId="262" priority="10" stopIfTrue="1" operator="equal">
      <formula>0</formula>
    </cfRule>
  </conditionalFormatting>
  <conditionalFormatting sqref="C8:D8">
    <cfRule type="cellIs" dxfId="261" priority="8" stopIfTrue="1" operator="equal">
      <formula>0</formula>
    </cfRule>
  </conditionalFormatting>
  <conditionalFormatting sqref="D10">
    <cfRule type="cellIs" dxfId="260" priority="9" stopIfTrue="1" operator="equal">
      <formula>0</formula>
    </cfRule>
  </conditionalFormatting>
  <conditionalFormatting sqref="C9:D9">
    <cfRule type="cellIs" dxfId="259" priority="7" stopIfTrue="1" operator="equal">
      <formula>0</formula>
    </cfRule>
  </conditionalFormatting>
  <conditionalFormatting sqref="C10">
    <cfRule type="cellIs" dxfId="258" priority="6" stopIfTrue="1" operator="equal">
      <formula>0</formula>
    </cfRule>
  </conditionalFormatting>
  <conditionalFormatting sqref="C35:D35">
    <cfRule type="cellIs" dxfId="257" priority="14" stopIfTrue="1" operator="equal">
      <formula>0</formula>
    </cfRule>
  </conditionalFormatting>
  <conditionalFormatting sqref="D7">
    <cfRule type="cellIs" dxfId="256" priority="19" stopIfTrue="1" operator="equal">
      <formula>0</formula>
    </cfRule>
  </conditionalFormatting>
  <conditionalFormatting sqref="C10">
    <cfRule type="cellIs" dxfId="255" priority="5" stopIfTrue="1" operator="equal">
      <formula>0</formula>
    </cfRule>
  </conditionalFormatting>
  <conditionalFormatting sqref="C7">
    <cfRule type="cellIs" dxfId="254" priority="18" stopIfTrue="1" operator="equal">
      <formula>0</formula>
    </cfRule>
  </conditionalFormatting>
  <conditionalFormatting sqref="C36:D80">
    <cfRule type="cellIs" dxfId="253" priority="4" stopIfTrue="1" operator="equal">
      <formula>0</formula>
    </cfRule>
  </conditionalFormatting>
  <conditionalFormatting sqref="C35:D35">
    <cfRule type="cellIs" dxfId="252" priority="2" stopIfTrue="1" operator="equal">
      <formula>0</formula>
    </cfRule>
  </conditionalFormatting>
  <conditionalFormatting sqref="C35:D35">
    <cfRule type="cellIs" dxfId="251" priority="3" stopIfTrue="1" operator="equal">
      <formula>0</formula>
    </cfRule>
  </conditionalFormatting>
  <conditionalFormatting sqref="C34:D34">
    <cfRule type="cellIs" dxfId="250" priority="1" stopIfTrue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zoomScale="80" zoomScaleNormal="80" workbookViewId="0">
      <pane ySplit="3" topLeftCell="A4" activePane="bottomLeft" state="frozen"/>
      <selection activeCell="I2" sqref="I2:I3"/>
    </sheetView>
  </sheetViews>
  <sheetFormatPr defaultRowHeight="12.75" x14ac:dyDescent="0.2"/>
  <cols>
    <col min="1" max="1" width="35.85546875" customWidth="1"/>
    <col min="2" max="2" width="35.85546875" style="150" customWidth="1"/>
    <col min="3" max="3" width="86.5703125" customWidth="1"/>
    <col min="4" max="5" width="11.5703125" customWidth="1"/>
    <col min="6" max="6" width="10.140625" customWidth="1"/>
    <col min="7" max="7" width="10.85546875" customWidth="1"/>
    <col min="8" max="9" width="10.42578125" customWidth="1"/>
  </cols>
  <sheetData>
    <row r="1" ht="15.75" thickBot="1" x14ac:dyDescent="0.25">
      <c r="A1" s="132" t="s">
        <v>30</v>
      </c>
      <c r="B1" s="55"/>
      <c r="C1" s="152"/>
      <c r="D1" s="17" t="s">
        <v>31</v>
      </c>
      <c r="E1" s="18"/>
      <c r="F1" s="19"/>
      <c r="G1" s="19"/>
      <c r="H1" s="19"/>
      <c r="I1" s="20"/>
      <c r="J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9" ht="25.5" customHeight="1" thickTop="1" thickBot="1" x14ac:dyDescent="0.25">
      <c r="A2" s="250" t="s">
        <v>32</v>
      </c>
      <c r="B2" s="238" t="s">
        <v>1391</v>
      </c>
      <c r="C2" s="252" t="s">
        <v>33</v>
      </c>
      <c r="D2" s="240" t="s">
        <v>34</v>
      </c>
      <c r="E2" s="242" t="s">
        <v>35</v>
      </c>
      <c r="F2" s="244" t="s">
        <v>36</v>
      </c>
      <c r="G2" s="244"/>
      <c r="H2" s="245" t="s">
        <v>37</v>
      </c>
      <c r="I2" s="230">
        <v>46300</v>
      </c>
    </row>
    <row r="3" spans="1:9" ht="44.25" customHeight="1" thickTop="1" thickBot="1" x14ac:dyDescent="0.25">
      <c r="A3" s="251"/>
      <c r="B3" s="239"/>
      <c r="C3" s="253"/>
      <c r="D3" s="241"/>
      <c r="E3" s="243"/>
      <c r="F3" s="21" t="s">
        <v>38</v>
      </c>
      <c r="G3" s="21" t="s">
        <v>39</v>
      </c>
      <c r="H3" s="246"/>
      <c r="I3" s="231"/>
    </row>
    <row r="4" spans="1:9" ht="16.5" thickTop="1" thickBot="1" x14ac:dyDescent="0.25">
      <c r="A4" s="232" t="s">
        <v>216</v>
      </c>
      <c r="B4" s="247"/>
      <c r="C4" s="233">
        <v>0</v>
      </c>
      <c r="D4" s="233">
        <v>0</v>
      </c>
      <c r="E4" s="233">
        <v>0</v>
      </c>
      <c r="F4" s="233">
        <v>0</v>
      </c>
      <c r="G4" s="233">
        <v>0</v>
      </c>
      <c r="H4" s="234">
        <v>0</v>
      </c>
      <c r="I4" s="60" t="s">
        <v>44</v>
      </c>
    </row>
    <row r="5" spans="1:9" ht="108.75" customHeight="1" thickTop="1" thickBot="1" x14ac:dyDescent="0.25">
      <c r="A5" s="147" t="s">
        <v>217</v>
      </c>
      <c r="B5" s="161"/>
      <c r="C5" s="145" t="s">
        <v>1390</v>
      </c>
      <c r="D5" s="144" t="s">
        <v>49</v>
      </c>
      <c r="E5" s="40">
        <v>32</v>
      </c>
      <c r="F5" s="248" t="s">
        <v>219</v>
      </c>
      <c r="G5" s="249">
        <v>0</v>
      </c>
      <c r="H5" s="64">
        <v>632.4</v>
      </c>
      <c r="I5" s="37" t="s">
        <v>50</v>
      </c>
    </row>
    <row r="6" spans="1:9" ht="60" customHeight="1" thickTop="1" thickBot="1" x14ac:dyDescent="0.25">
      <c r="A6" s="38" t="s">
        <v>1389</v>
      </c>
      <c r="B6" s="161"/>
      <c r="C6" s="39" t="s">
        <v>1388</v>
      </c>
      <c r="D6" s="40" t="s">
        <v>49</v>
      </c>
      <c r="E6" s="40">
        <v>36</v>
      </c>
      <c r="F6" s="65">
        <v>133.30000000000001</v>
      </c>
      <c r="G6" s="65">
        <v>146.9</v>
      </c>
      <c r="H6" s="66">
        <v>146.9</v>
      </c>
      <c r="I6" s="37" t="s">
        <v>50</v>
      </c>
    </row>
    <row r="7" spans="1:9" ht="60" customHeight="1" thickTop="1" thickBot="1" x14ac:dyDescent="0.25">
      <c r="A7" s="147" t="s">
        <v>220</v>
      </c>
      <c r="B7" s="161"/>
      <c r="C7" s="145" t="s">
        <v>221</v>
      </c>
      <c r="D7" s="144" t="s">
        <v>49</v>
      </c>
      <c r="E7" s="40">
        <v>100</v>
      </c>
      <c r="F7" s="65">
        <v>122.4</v>
      </c>
      <c r="G7" s="65">
        <v>122.4</v>
      </c>
      <c r="H7" s="66">
        <v>122.4</v>
      </c>
      <c r="I7" s="37" t="s">
        <v>53</v>
      </c>
    </row>
    <row r="8" spans="1:9" ht="69.75" customHeight="1" thickTop="1" thickBot="1" x14ac:dyDescent="0.25">
      <c r="A8" s="147" t="s">
        <v>222</v>
      </c>
      <c r="B8" s="161"/>
      <c r="C8" s="145" t="s">
        <v>223</v>
      </c>
      <c r="D8" s="144" t="s">
        <v>49</v>
      </c>
      <c r="E8" s="40">
        <v>48</v>
      </c>
      <c r="F8" s="65">
        <v>1600</v>
      </c>
      <c r="G8" s="65">
        <v>1700</v>
      </c>
      <c r="H8" s="66">
        <v>2000</v>
      </c>
      <c r="I8" s="37" t="s">
        <v>53</v>
      </c>
    </row>
    <row r="9" spans="1:9" ht="89.25" customHeight="1" thickTop="1" thickBot="1" x14ac:dyDescent="0.25">
      <c r="A9" s="147" t="s">
        <v>224</v>
      </c>
      <c r="B9" s="161"/>
      <c r="C9" s="145" t="s">
        <v>225</v>
      </c>
      <c r="D9" s="144" t="s">
        <v>49</v>
      </c>
      <c r="E9" s="69">
        <v>1</v>
      </c>
      <c r="F9" s="70">
        <v>2000</v>
      </c>
      <c r="G9" s="70">
        <v>2000</v>
      </c>
      <c r="H9" s="71">
        <v>2500</v>
      </c>
      <c r="I9" s="37" t="s">
        <v>53</v>
      </c>
    </row>
    <row r="10" spans="1:9" ht="60" customHeight="1" thickTop="1" thickBot="1" x14ac:dyDescent="0.25">
      <c r="A10" s="147" t="s">
        <v>226</v>
      </c>
      <c r="B10" s="161"/>
      <c r="C10" s="145" t="s">
        <v>1387</v>
      </c>
      <c r="D10" s="144" t="s">
        <v>49</v>
      </c>
      <c r="E10" s="69">
        <v>10</v>
      </c>
      <c r="F10" s="70">
        <v>3500</v>
      </c>
      <c r="G10" s="70">
        <v>3500</v>
      </c>
      <c r="H10" s="71">
        <v>4000</v>
      </c>
      <c r="I10" s="37" t="s">
        <v>53</v>
      </c>
    </row>
    <row r="11" spans="1:9" s="150" customFormat="1" ht="66.75" customHeight="1" thickTop="1" thickBot="1" x14ac:dyDescent="0.25">
      <c r="A11" s="160" t="s">
        <v>227</v>
      </c>
      <c r="B11" s="159"/>
      <c r="C11" s="158" t="s">
        <v>228</v>
      </c>
      <c r="D11" s="157" t="s">
        <v>129</v>
      </c>
      <c r="E11" s="69">
        <v>70</v>
      </c>
      <c r="F11" s="70">
        <v>400</v>
      </c>
      <c r="G11" s="70">
        <v>400</v>
      </c>
      <c r="H11" s="71">
        <v>400</v>
      </c>
      <c r="I11" s="37" t="s">
        <v>53</v>
      </c>
    </row>
    <row r="12" spans="1:9" ht="66.75" customHeight="1" thickTop="1" thickBot="1" x14ac:dyDescent="0.25">
      <c r="A12" s="106" t="s">
        <v>229</v>
      </c>
      <c r="B12" s="156"/>
      <c r="C12" s="155" t="s">
        <v>230</v>
      </c>
      <c r="D12" s="108" t="s">
        <v>49</v>
      </c>
      <c r="E12" s="69">
        <v>1000</v>
      </c>
      <c r="F12" s="70">
        <v>70</v>
      </c>
      <c r="G12" s="70">
        <v>70</v>
      </c>
      <c r="H12" s="71">
        <v>70</v>
      </c>
      <c r="I12" s="37" t="s">
        <v>53</v>
      </c>
    </row>
    <row r="13" spans="1:9" ht="57.75" customHeight="1" thickTop="1" thickBot="1" x14ac:dyDescent="0.25">
      <c r="A13" s="38" t="s">
        <v>231</v>
      </c>
      <c r="B13" s="154"/>
      <c r="C13" s="68" t="s">
        <v>232</v>
      </c>
      <c r="D13" s="40" t="s">
        <v>129</v>
      </c>
      <c r="E13" s="69">
        <v>1000</v>
      </c>
      <c r="F13" s="70">
        <v>70</v>
      </c>
      <c r="G13" s="70">
        <v>70</v>
      </c>
      <c r="H13" s="71">
        <v>70</v>
      </c>
      <c r="I13" s="37" t="s">
        <v>53</v>
      </c>
    </row>
    <row r="14" spans="1:9" ht="67.5" customHeight="1" thickTop="1" thickBot="1" x14ac:dyDescent="0.25">
      <c r="A14" s="49" t="s">
        <v>1386</v>
      </c>
      <c r="B14" s="153"/>
      <c r="C14" s="50" t="s">
        <v>1385</v>
      </c>
      <c r="D14" s="51" t="s">
        <v>49</v>
      </c>
      <c r="E14" s="51">
        <v>24</v>
      </c>
      <c r="F14" s="52">
        <v>550</v>
      </c>
      <c r="G14" s="52">
        <v>550</v>
      </c>
      <c r="H14" s="53">
        <v>550</v>
      </c>
      <c r="I14" s="54" t="s">
        <v>53</v>
      </c>
    </row>
    <row r="15" spans="1:9" ht="13.5" thickTop="1" x14ac:dyDescent="0.2">
      <c r="E15" s="57"/>
      <c r="F15" s="58"/>
      <c r="G15" s="58"/>
      <c r="H15" s="58"/>
      <c r="I15" s="59"/>
    </row>
    <row r="16" spans="1:9" x14ac:dyDescent="0.2">
      <c r="E16" s="57"/>
      <c r="F16" s="58"/>
      <c r="G16" s="58"/>
      <c r="H16" s="58"/>
      <c r="I16" s="59"/>
    </row>
    <row r="17" spans="5:9" x14ac:dyDescent="0.2">
      <c r="E17" s="57"/>
      <c r="F17" s="58"/>
      <c r="G17" s="58"/>
      <c r="H17" s="58"/>
      <c r="I17" s="59"/>
    </row>
    <row r="18" spans="5:9" x14ac:dyDescent="0.2">
      <c r="E18" s="57"/>
      <c r="F18" s="58"/>
      <c r="G18" s="58"/>
      <c r="H18" s="58"/>
      <c r="I18" s="59"/>
    </row>
    <row r="19" spans="5:9" x14ac:dyDescent="0.2">
      <c r="E19" s="57"/>
      <c r="F19" s="58"/>
      <c r="G19" s="58"/>
      <c r="H19" s="58"/>
      <c r="I19" s="59"/>
    </row>
    <row r="20" spans="5:9" x14ac:dyDescent="0.2">
      <c r="E20" s="57"/>
      <c r="F20" s="58"/>
      <c r="G20" s="58"/>
      <c r="H20" s="58"/>
      <c r="I20" s="59"/>
    </row>
    <row r="21" spans="5:9" x14ac:dyDescent="0.2">
      <c r="E21" s="57"/>
      <c r="F21" s="58"/>
      <c r="G21" s="58"/>
      <c r="H21" s="58"/>
      <c r="I21" s="59"/>
    </row>
    <row r="22" spans="5:9" x14ac:dyDescent="0.2">
      <c r="E22" s="57"/>
      <c r="F22" s="58"/>
      <c r="G22" s="58"/>
      <c r="H22" s="58"/>
      <c r="I22" s="59"/>
    </row>
    <row r="23" spans="5:9" x14ac:dyDescent="0.2">
      <c r="E23" s="57"/>
      <c r="F23" s="58"/>
      <c r="G23" s="58"/>
      <c r="H23" s="58"/>
      <c r="I23" s="59"/>
    </row>
    <row r="24" spans="5:9" x14ac:dyDescent="0.2">
      <c r="E24" s="57"/>
      <c r="F24" s="58"/>
      <c r="G24" s="58"/>
      <c r="H24" s="58"/>
      <c r="I24" s="59"/>
    </row>
    <row r="25" spans="5:9" x14ac:dyDescent="0.2">
      <c r="E25" s="57"/>
      <c r="F25" s="58"/>
      <c r="G25" s="58"/>
      <c r="H25" s="58"/>
      <c r="I25" s="59"/>
    </row>
    <row r="26" spans="5:9" x14ac:dyDescent="0.2">
      <c r="E26" s="57"/>
      <c r="F26" s="58"/>
      <c r="G26" s="58"/>
      <c r="H26" s="58"/>
      <c r="I26" s="59"/>
    </row>
    <row r="27" spans="5:9" x14ac:dyDescent="0.2">
      <c r="E27" s="57"/>
      <c r="F27" s="58"/>
      <c r="G27" s="58"/>
      <c r="H27" s="58"/>
      <c r="I27" s="59"/>
    </row>
    <row r="28" spans="5:9" x14ac:dyDescent="0.2">
      <c r="E28" s="57"/>
      <c r="F28" s="58"/>
      <c r="G28" s="58"/>
      <c r="H28" s="58"/>
      <c r="I28" s="59"/>
    </row>
    <row r="29" spans="5:9" x14ac:dyDescent="0.2">
      <c r="E29" s="57"/>
      <c r="F29" s="58"/>
      <c r="G29" s="58"/>
      <c r="H29" s="58"/>
      <c r="I29" s="59"/>
    </row>
    <row r="30" spans="5:9" x14ac:dyDescent="0.2">
      <c r="E30" s="57"/>
      <c r="F30" s="58"/>
      <c r="G30" s="58"/>
      <c r="H30" s="58"/>
      <c r="I30" s="59"/>
    </row>
    <row r="31" spans="5:9" x14ac:dyDescent="0.2">
      <c r="E31" s="57"/>
      <c r="F31" s="58"/>
      <c r="G31" s="58"/>
      <c r="H31" s="58"/>
      <c r="I31" s="59"/>
    </row>
    <row r="32" spans="5:9" x14ac:dyDescent="0.2">
      <c r="E32" s="57"/>
      <c r="F32" s="58"/>
      <c r="G32" s="58"/>
      <c r="H32" s="58"/>
      <c r="I32" s="59"/>
    </row>
    <row r="33" spans="5:9" x14ac:dyDescent="0.2">
      <c r="E33" s="57"/>
      <c r="F33" s="58"/>
      <c r="G33" s="58"/>
      <c r="H33" s="58"/>
      <c r="I33" s="59"/>
    </row>
    <row r="34" spans="5:9" x14ac:dyDescent="0.2">
      <c r="E34" s="57"/>
      <c r="F34" s="58"/>
      <c r="G34" s="58"/>
      <c r="H34" s="58"/>
      <c r="I34" s="59"/>
    </row>
    <row r="35" spans="5:9" x14ac:dyDescent="0.2">
      <c r="E35" s="57"/>
      <c r="F35" s="58"/>
      <c r="G35" s="58"/>
      <c r="H35" s="58"/>
      <c r="I35" s="59"/>
    </row>
    <row r="36" spans="5:9" x14ac:dyDescent="0.2">
      <c r="E36" s="57"/>
      <c r="F36" s="58"/>
      <c r="G36" s="58"/>
      <c r="H36" s="58"/>
      <c r="I36" s="59"/>
    </row>
    <row r="37" spans="5:9" x14ac:dyDescent="0.2">
      <c r="E37" s="57"/>
      <c r="F37" s="58"/>
      <c r="G37" s="58"/>
      <c r="H37" s="58"/>
      <c r="I37" s="59"/>
    </row>
    <row r="38" spans="5:9" x14ac:dyDescent="0.2">
      <c r="E38" s="57"/>
      <c r="F38" s="58"/>
      <c r="G38" s="58"/>
      <c r="H38" s="58"/>
      <c r="I38" s="59"/>
    </row>
    <row r="39" spans="5:9" x14ac:dyDescent="0.2">
      <c r="E39" s="57"/>
      <c r="F39" s="58"/>
      <c r="G39" s="58"/>
      <c r="H39" s="58"/>
      <c r="I39" s="59"/>
    </row>
    <row r="40" spans="5:9" x14ac:dyDescent="0.2">
      <c r="E40" s="57"/>
      <c r="F40" s="58"/>
      <c r="G40" s="58"/>
      <c r="H40" s="58"/>
      <c r="I40" s="59"/>
    </row>
    <row r="41" spans="5:9" x14ac:dyDescent="0.2">
      <c r="E41" s="57"/>
      <c r="F41" s="58"/>
      <c r="G41" s="58"/>
      <c r="H41" s="58"/>
      <c r="I41" s="59"/>
    </row>
    <row r="42" spans="5:9" x14ac:dyDescent="0.2">
      <c r="E42" s="57"/>
      <c r="F42" s="58"/>
      <c r="G42" s="58"/>
      <c r="H42" s="58"/>
      <c r="I42" s="59"/>
    </row>
    <row r="43" spans="5:9" x14ac:dyDescent="0.2">
      <c r="E43" s="57"/>
      <c r="F43" s="58"/>
      <c r="G43" s="58"/>
      <c r="H43" s="58"/>
      <c r="I43" s="59"/>
    </row>
    <row r="44" spans="5:9" x14ac:dyDescent="0.2">
      <c r="E44" s="57"/>
      <c r="F44" s="58"/>
      <c r="G44" s="58"/>
      <c r="H44" s="58"/>
      <c r="I44" s="59"/>
    </row>
    <row r="45" spans="5:9" x14ac:dyDescent="0.2">
      <c r="E45" s="57"/>
      <c r="F45" s="58"/>
      <c r="G45" s="58"/>
      <c r="H45" s="58"/>
      <c r="I45" s="59"/>
    </row>
    <row r="46" spans="5:9" x14ac:dyDescent="0.2">
      <c r="E46" s="57"/>
      <c r="F46" s="58"/>
      <c r="G46" s="58"/>
      <c r="H46" s="58"/>
      <c r="I46" s="59"/>
    </row>
    <row r="47" spans="5:9" x14ac:dyDescent="0.2">
      <c r="E47" s="57"/>
      <c r="F47" s="58"/>
      <c r="G47" s="58"/>
      <c r="H47" s="58"/>
      <c r="I47" s="59"/>
    </row>
    <row r="48" spans="5:9" x14ac:dyDescent="0.2">
      <c r="E48" s="57"/>
      <c r="F48" s="58"/>
      <c r="G48" s="58"/>
      <c r="H48" s="58"/>
      <c r="I48" s="59"/>
    </row>
    <row r="49" spans="5:9" x14ac:dyDescent="0.2">
      <c r="E49" s="57"/>
      <c r="F49" s="58"/>
      <c r="G49" s="58"/>
      <c r="H49" s="58"/>
      <c r="I49" s="59"/>
    </row>
    <row r="50" spans="5:9" x14ac:dyDescent="0.2">
      <c r="E50" s="57"/>
      <c r="F50" s="58"/>
      <c r="G50" s="58"/>
      <c r="H50" s="58"/>
      <c r="I50" s="59"/>
    </row>
    <row r="51" spans="5:9" x14ac:dyDescent="0.2">
      <c r="E51" s="57"/>
      <c r="F51" s="58"/>
      <c r="G51" s="58"/>
      <c r="H51" s="58"/>
      <c r="I51" s="59"/>
    </row>
    <row r="52" spans="5:9" x14ac:dyDescent="0.2">
      <c r="E52" s="57"/>
      <c r="F52" s="58"/>
      <c r="G52" s="58"/>
      <c r="H52" s="58"/>
      <c r="I52" s="59"/>
    </row>
    <row r="53" spans="5:9" x14ac:dyDescent="0.2">
      <c r="E53" s="57"/>
      <c r="F53" s="58"/>
      <c r="G53" s="58"/>
      <c r="H53" s="58"/>
      <c r="I53" s="59"/>
    </row>
    <row r="54" spans="5:9" x14ac:dyDescent="0.2">
      <c r="E54" s="57"/>
      <c r="F54" s="58"/>
      <c r="G54" s="58"/>
      <c r="H54" s="58"/>
      <c r="I54" s="59"/>
    </row>
    <row r="55" spans="5:9" x14ac:dyDescent="0.2">
      <c r="E55" s="57"/>
      <c r="F55" s="58"/>
      <c r="G55" s="58"/>
      <c r="H55" s="58"/>
      <c r="I55" s="59"/>
    </row>
    <row r="56" spans="5:9" x14ac:dyDescent="0.2">
      <c r="E56" s="57"/>
      <c r="F56" s="58"/>
      <c r="G56" s="58"/>
      <c r="H56" s="58"/>
      <c r="I56" s="59"/>
    </row>
    <row r="57" spans="5:9" x14ac:dyDescent="0.2">
      <c r="E57" s="57"/>
      <c r="F57" s="58"/>
      <c r="G57" s="58"/>
      <c r="H57" s="58"/>
      <c r="I57" s="59"/>
    </row>
    <row r="58" spans="5:9" x14ac:dyDescent="0.2">
      <c r="E58" s="57"/>
      <c r="F58" s="58"/>
      <c r="G58" s="58"/>
      <c r="H58" s="58"/>
      <c r="I58" s="59"/>
    </row>
    <row r="59" spans="5:9" x14ac:dyDescent="0.2">
      <c r="E59" s="57"/>
      <c r="F59" s="58"/>
      <c r="G59" s="58"/>
      <c r="H59" s="58"/>
      <c r="I59" s="59"/>
    </row>
    <row r="60" spans="5:9" x14ac:dyDescent="0.2">
      <c r="E60" s="57"/>
      <c r="F60" s="58"/>
      <c r="G60" s="58"/>
      <c r="H60" s="58"/>
      <c r="I60" s="59"/>
    </row>
    <row r="61" spans="5:9" x14ac:dyDescent="0.2">
      <c r="E61" s="57"/>
      <c r="F61" s="58"/>
      <c r="G61" s="58"/>
      <c r="H61" s="58"/>
      <c r="I61" s="59"/>
    </row>
    <row r="62" spans="5:9" x14ac:dyDescent="0.2">
      <c r="E62" s="57"/>
      <c r="F62" s="58"/>
      <c r="G62" s="58"/>
      <c r="H62" s="58"/>
      <c r="I62" s="59"/>
    </row>
    <row r="63" spans="5:9" x14ac:dyDescent="0.2">
      <c r="E63" s="57"/>
      <c r="F63" s="58"/>
      <c r="G63" s="58"/>
      <c r="H63" s="58"/>
      <c r="I63" s="59"/>
    </row>
    <row r="64" spans="5:9" x14ac:dyDescent="0.2">
      <c r="E64" s="57"/>
      <c r="F64" s="58"/>
      <c r="G64" s="58"/>
      <c r="H64" s="58"/>
      <c r="I64" s="59"/>
    </row>
    <row r="65" spans="5:9" x14ac:dyDescent="0.2">
      <c r="E65" s="57"/>
      <c r="F65" s="58"/>
      <c r="G65" s="58"/>
      <c r="H65" s="58"/>
      <c r="I65" s="59"/>
    </row>
    <row r="94" spans="1:4" x14ac:dyDescent="0.2">
      <c r="A94" s="132"/>
      <c r="B94" s="55"/>
      <c r="C94" s="152"/>
      <c r="D94" s="151"/>
    </row>
    <row r="95" spans="1:4" x14ac:dyDescent="0.2">
      <c r="A95" s="132"/>
      <c r="B95" s="55"/>
      <c r="C95" s="152"/>
      <c r="D95" s="151"/>
    </row>
    <row r="96" spans="1:4" x14ac:dyDescent="0.2">
      <c r="A96" s="132"/>
      <c r="B96" s="55"/>
      <c r="C96" s="152"/>
      <c r="D96" s="151"/>
    </row>
    <row r="97" spans="1:4" x14ac:dyDescent="0.2">
      <c r="A97" s="132"/>
      <c r="B97" s="55"/>
      <c r="C97" s="152"/>
      <c r="D97" s="151"/>
    </row>
    <row r="98" spans="1:4" x14ac:dyDescent="0.2">
      <c r="A98" s="132"/>
      <c r="B98" s="55"/>
      <c r="C98" s="152"/>
      <c r="D98" s="151"/>
    </row>
    <row r="99" spans="1:4" x14ac:dyDescent="0.2">
      <c r="A99" s="132"/>
      <c r="B99" s="55"/>
      <c r="C99" s="152"/>
      <c r="D99" s="151"/>
    </row>
  </sheetData>
  <mergeCells count="10">
    <mergeCell ref="H2:H3"/>
    <mergeCell ref="B2:B3"/>
    <mergeCell ref="I2:I3"/>
    <mergeCell ref="A4:H4"/>
    <mergeCell ref="F5:G5"/>
    <mergeCell ref="A2:A3"/>
    <mergeCell ref="C2:C3"/>
    <mergeCell ref="D2:D3"/>
    <mergeCell ref="E2:E3"/>
    <mergeCell ref="F2:G2"/>
  </mergeCells>
  <conditionalFormatting sqref="D7:D10">
    <cfRule type="cellIs" dxfId="249" priority="18" stopIfTrue="1" operator="equal">
      <formula>0</formula>
    </cfRule>
  </conditionalFormatting>
  <conditionalFormatting sqref="D94:D99">
    <cfRule type="cellIs" dxfId="248" priority="20" stopIfTrue="1" operator="equal">
      <formula>0</formula>
    </cfRule>
  </conditionalFormatting>
  <conditionalFormatting sqref="D4">
    <cfRule type="cellIs" dxfId="247" priority="19" stopIfTrue="1" operator="equal">
      <formula>0</formula>
    </cfRule>
  </conditionalFormatting>
  <conditionalFormatting sqref="D11">
    <cfRule type="cellIs" dxfId="246" priority="17" stopIfTrue="1" operator="equal">
      <formula>0</formula>
    </cfRule>
  </conditionalFormatting>
  <conditionalFormatting sqref="D5">
    <cfRule type="cellIs" dxfId="245" priority="16" stopIfTrue="1" operator="equal">
      <formula>0</formula>
    </cfRule>
  </conditionalFormatting>
  <conditionalFormatting sqref="D6">
    <cfRule type="cellIs" dxfId="244" priority="15" stopIfTrue="1" operator="equal">
      <formula>0</formula>
    </cfRule>
  </conditionalFormatting>
  <conditionalFormatting sqref="D14">
    <cfRule type="cellIs" dxfId="243" priority="14" stopIfTrue="1" operator="equal">
      <formula>0</formula>
    </cfRule>
  </conditionalFormatting>
  <conditionalFormatting sqref="D13">
    <cfRule type="cellIs" dxfId="242" priority="13" stopIfTrue="1" operator="equal">
      <formula>0</formula>
    </cfRule>
  </conditionalFormatting>
  <conditionalFormatting sqref="D12">
    <cfRule type="cellIs" dxfId="241" priority="12" stopIfTrue="1" operator="equal">
      <formula>0</formula>
    </cfRule>
  </conditionalFormatting>
  <conditionalFormatting sqref="D2">
    <cfRule type="cellIs" dxfId="240" priority="11" stopIfTrue="1" operator="equal">
      <formula>0</formula>
    </cfRule>
  </conditionalFormatting>
  <conditionalFormatting sqref="D1">
    <cfRule type="cellIs" dxfId="239" priority="10" stopIfTrue="1" operator="equal">
      <formula>0</formula>
    </cfRule>
  </conditionalFormatting>
  <conditionalFormatting sqref="E1:E3">
    <cfRule type="cellIs" dxfId="238" priority="9" stopIfTrue="1" operator="equal">
      <formula>0</formula>
    </cfRule>
  </conditionalFormatting>
  <conditionalFormatting sqref="E7">
    <cfRule type="cellIs" dxfId="237" priority="7" stopIfTrue="1" operator="equal">
      <formula>0</formula>
    </cfRule>
  </conditionalFormatting>
  <conditionalFormatting sqref="E15:E65">
    <cfRule type="cellIs" dxfId="236" priority="8" stopIfTrue="1" operator="equal">
      <formula>0</formula>
    </cfRule>
  </conditionalFormatting>
  <conditionalFormatting sqref="E8:E10">
    <cfRule type="cellIs" dxfId="235" priority="4" stopIfTrue="1" operator="equal">
      <formula>0</formula>
    </cfRule>
  </conditionalFormatting>
  <conditionalFormatting sqref="E6">
    <cfRule type="cellIs" dxfId="234" priority="6" stopIfTrue="1" operator="equal">
      <formula>0</formula>
    </cfRule>
  </conditionalFormatting>
  <conditionalFormatting sqref="E5">
    <cfRule type="cellIs" dxfId="233" priority="5" stopIfTrue="1" operator="equal">
      <formula>0</formula>
    </cfRule>
  </conditionalFormatting>
  <conditionalFormatting sqref="E4">
    <cfRule type="cellIs" dxfId="232" priority="3" stopIfTrue="1" operator="equal">
      <formula>0</formula>
    </cfRule>
  </conditionalFormatting>
  <conditionalFormatting sqref="E14">
    <cfRule type="cellIs" dxfId="231" priority="2" stopIfTrue="1" operator="equal">
      <formula>0</formula>
    </cfRule>
  </conditionalFormatting>
  <conditionalFormatting sqref="E11:E13">
    <cfRule type="cellIs" dxfId="230" priority="1" stopIfTrue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94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2.42578125" customWidth="1"/>
    <col min="2" max="2" width="86.5703125" customWidth="1"/>
    <col min="3" max="3" width="11.5703125" customWidth="1"/>
    <col min="4" max="4" width="10.140625" customWidth="1"/>
    <col min="5" max="5" width="10.85546875" customWidth="1"/>
    <col min="6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3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0.700000000000003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9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9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9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233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234</v>
      </c>
      <c r="B8" s="222">
        <v>0</v>
      </c>
      <c r="C8" s="222">
        <v>0</v>
      </c>
      <c r="D8" s="222" t="e">
        <v>#REF!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221" t="s">
        <v>235</v>
      </c>
      <c r="B9" s="222">
        <v>0</v>
      </c>
      <c r="C9" s="222">
        <v>0</v>
      </c>
      <c r="D9" s="222" t="e">
        <v>#REF!</v>
      </c>
      <c r="E9" s="222">
        <v>0</v>
      </c>
      <c r="F9" s="222">
        <v>0</v>
      </c>
      <c r="G9" s="223">
        <v>0</v>
      </c>
      <c r="H9" s="37" t="s">
        <v>44</v>
      </c>
    </row>
    <row r="10" spans="1:8" ht="18.95" customHeight="1" thickTop="1" thickBot="1" x14ac:dyDescent="0.25">
      <c r="A10" s="38" t="s">
        <v>236</v>
      </c>
      <c r="B10" s="39" t="s">
        <v>237</v>
      </c>
      <c r="C10" s="40" t="s">
        <v>129</v>
      </c>
      <c r="D10" s="40">
        <v>20</v>
      </c>
      <c r="E10" s="41">
        <v>1514.4</v>
      </c>
      <c r="F10" s="41">
        <v>1675.2</v>
      </c>
      <c r="G10" s="42">
        <v>1853.1</v>
      </c>
      <c r="H10" s="37" t="s">
        <v>53</v>
      </c>
    </row>
    <row r="11" spans="1:8" ht="18.95" customHeight="1" thickTop="1" thickBot="1" x14ac:dyDescent="0.25">
      <c r="A11" s="38" t="s">
        <v>238</v>
      </c>
      <c r="B11" s="39" t="s">
        <v>239</v>
      </c>
      <c r="C11" s="40" t="s">
        <v>129</v>
      </c>
      <c r="D11" s="40">
        <v>10</v>
      </c>
      <c r="E11" s="41">
        <v>4942.2</v>
      </c>
      <c r="F11" s="41">
        <v>5461.1</v>
      </c>
      <c r="G11" s="42">
        <v>6034.5</v>
      </c>
      <c r="H11" s="37" t="s">
        <v>53</v>
      </c>
    </row>
    <row r="12" spans="1:8" ht="18.95" customHeight="1" thickTop="1" thickBot="1" x14ac:dyDescent="0.25">
      <c r="A12" s="38" t="s">
        <v>240</v>
      </c>
      <c r="B12" s="39" t="s">
        <v>241</v>
      </c>
      <c r="C12" s="40" t="s">
        <v>129</v>
      </c>
      <c r="D12" s="40">
        <v>20</v>
      </c>
      <c r="E12" s="41">
        <v>1694.3</v>
      </c>
      <c r="F12" s="41">
        <v>1872.1</v>
      </c>
      <c r="G12" s="42">
        <v>2068.6</v>
      </c>
      <c r="H12" s="37" t="s">
        <v>53</v>
      </c>
    </row>
    <row r="13" spans="1:8" ht="18.95" customHeight="1" thickTop="1" thickBot="1" x14ac:dyDescent="0.25">
      <c r="A13" s="38" t="s">
        <v>242</v>
      </c>
      <c r="B13" s="39" t="s">
        <v>243</v>
      </c>
      <c r="C13" s="40" t="s">
        <v>129</v>
      </c>
      <c r="D13" s="40">
        <v>8</v>
      </c>
      <c r="E13" s="41">
        <v>6672.5</v>
      </c>
      <c r="F13" s="41">
        <v>7372.3</v>
      </c>
      <c r="G13" s="42">
        <v>8145.5</v>
      </c>
      <c r="H13" s="37" t="s">
        <v>53</v>
      </c>
    </row>
    <row r="14" spans="1:8" ht="18.95" customHeight="1" thickTop="1" thickBot="1" x14ac:dyDescent="0.25">
      <c r="A14" s="38" t="s">
        <v>244</v>
      </c>
      <c r="B14" s="39" t="s">
        <v>245</v>
      </c>
      <c r="C14" s="40" t="s">
        <v>129</v>
      </c>
      <c r="D14" s="40">
        <v>8</v>
      </c>
      <c r="E14" s="41">
        <v>2302.4</v>
      </c>
      <c r="F14" s="41">
        <v>2544.3000000000002</v>
      </c>
      <c r="G14" s="42">
        <v>2811.6</v>
      </c>
      <c r="H14" s="37" t="s">
        <v>53</v>
      </c>
    </row>
    <row r="15" spans="1:8" ht="18.95" customHeight="1" thickTop="1" thickBot="1" x14ac:dyDescent="0.25">
      <c r="A15" s="38" t="s">
        <v>246</v>
      </c>
      <c r="B15" s="39" t="s">
        <v>247</v>
      </c>
      <c r="C15" s="40" t="s">
        <v>129</v>
      </c>
      <c r="D15" s="40">
        <v>8</v>
      </c>
      <c r="E15" s="41">
        <v>8951.2999999999993</v>
      </c>
      <c r="F15" s="41">
        <v>9891.5</v>
      </c>
      <c r="G15" s="42">
        <v>10930.5</v>
      </c>
      <c r="H15" s="37" t="s">
        <v>53</v>
      </c>
    </row>
    <row r="16" spans="1:8" ht="18.95" customHeight="1" thickTop="1" thickBot="1" x14ac:dyDescent="0.25">
      <c r="A16" s="38" t="s">
        <v>248</v>
      </c>
      <c r="B16" s="39" t="s">
        <v>249</v>
      </c>
      <c r="C16" s="40" t="s">
        <v>129</v>
      </c>
      <c r="D16" s="40">
        <v>4</v>
      </c>
      <c r="E16" s="41">
        <v>3387.6</v>
      </c>
      <c r="F16" s="41">
        <v>3742.3</v>
      </c>
      <c r="G16" s="42">
        <v>4134.1000000000004</v>
      </c>
      <c r="H16" s="37" t="s">
        <v>50</v>
      </c>
    </row>
    <row r="17" spans="1:8" ht="18.95" customHeight="1" thickTop="1" thickBot="1" x14ac:dyDescent="0.25">
      <c r="A17" s="38" t="s">
        <v>250</v>
      </c>
      <c r="B17" s="39" t="s">
        <v>251</v>
      </c>
      <c r="C17" s="40" t="s">
        <v>129</v>
      </c>
      <c r="D17" s="40">
        <v>8</v>
      </c>
      <c r="E17" s="41">
        <v>11861.1</v>
      </c>
      <c r="F17" s="41">
        <v>13106.9</v>
      </c>
      <c r="G17" s="42">
        <v>14483.5</v>
      </c>
      <c r="H17" s="37" t="s">
        <v>53</v>
      </c>
    </row>
    <row r="18" spans="1:8" ht="18.95" customHeight="1" thickTop="1" thickBot="1" x14ac:dyDescent="0.25">
      <c r="A18" s="38" t="s">
        <v>252</v>
      </c>
      <c r="B18" s="39" t="s">
        <v>253</v>
      </c>
      <c r="C18" s="40" t="s">
        <v>129</v>
      </c>
      <c r="D18" s="40">
        <v>6</v>
      </c>
      <c r="E18" s="41">
        <v>3537.8</v>
      </c>
      <c r="F18" s="41">
        <v>3910.6</v>
      </c>
      <c r="G18" s="42">
        <v>4322.7</v>
      </c>
      <c r="H18" s="37" t="s">
        <v>53</v>
      </c>
    </row>
    <row r="19" spans="1:8" ht="18.95" customHeight="1" thickTop="1" thickBot="1" x14ac:dyDescent="0.25">
      <c r="A19" s="38" t="s">
        <v>254</v>
      </c>
      <c r="B19" s="39" t="s">
        <v>255</v>
      </c>
      <c r="C19" s="40" t="s">
        <v>129</v>
      </c>
      <c r="D19" s="40">
        <v>6</v>
      </c>
      <c r="E19" s="41">
        <v>4258.8</v>
      </c>
      <c r="F19" s="41">
        <v>4706.1000000000004</v>
      </c>
      <c r="G19" s="42">
        <v>5200.3999999999996</v>
      </c>
      <c r="H19" s="37" t="s">
        <v>53</v>
      </c>
    </row>
    <row r="20" spans="1:8" ht="18.95" customHeight="1" thickTop="1" thickBot="1" x14ac:dyDescent="0.25">
      <c r="A20" s="38" t="s">
        <v>256</v>
      </c>
      <c r="B20" s="39" t="s">
        <v>257</v>
      </c>
      <c r="C20" s="40" t="s">
        <v>129</v>
      </c>
      <c r="D20" s="40">
        <v>4</v>
      </c>
      <c r="E20" s="41">
        <v>5439.7</v>
      </c>
      <c r="F20" s="41">
        <v>6010.6</v>
      </c>
      <c r="G20" s="42">
        <v>6641.4</v>
      </c>
      <c r="H20" s="37" t="s">
        <v>53</v>
      </c>
    </row>
    <row r="21" spans="1:8" ht="18.95" customHeight="1" thickTop="1" thickBot="1" x14ac:dyDescent="0.25">
      <c r="A21" s="38" t="s">
        <v>258</v>
      </c>
      <c r="B21" s="39" t="s">
        <v>259</v>
      </c>
      <c r="C21" s="40" t="s">
        <v>129</v>
      </c>
      <c r="D21" s="40">
        <v>4</v>
      </c>
      <c r="E21" s="41">
        <v>6253.4</v>
      </c>
      <c r="F21" s="41">
        <v>6909.6</v>
      </c>
      <c r="G21" s="42">
        <v>7634.7</v>
      </c>
      <c r="H21" s="37" t="s">
        <v>53</v>
      </c>
    </row>
    <row r="22" spans="1:8" ht="18.95" customHeight="1" thickTop="1" thickBot="1" x14ac:dyDescent="0.25">
      <c r="A22" s="38" t="s">
        <v>260</v>
      </c>
      <c r="B22" s="39" t="s">
        <v>261</v>
      </c>
      <c r="C22" s="40" t="s">
        <v>129</v>
      </c>
      <c r="D22" s="40">
        <v>2</v>
      </c>
      <c r="E22" s="41">
        <v>10048.9</v>
      </c>
      <c r="F22" s="41">
        <v>11104.2</v>
      </c>
      <c r="G22" s="42">
        <v>12270.3</v>
      </c>
      <c r="H22" s="37" t="s">
        <v>53</v>
      </c>
    </row>
    <row r="23" spans="1:8" ht="18.95" customHeight="1" thickTop="1" thickBot="1" x14ac:dyDescent="0.25">
      <c r="A23" s="221" t="s">
        <v>262</v>
      </c>
      <c r="B23" s="222">
        <v>0</v>
      </c>
      <c r="C23" s="222">
        <v>0</v>
      </c>
      <c r="D23" s="222" t="e">
        <v>#REF!</v>
      </c>
      <c r="E23" s="222">
        <v>0</v>
      </c>
      <c r="F23" s="222">
        <v>0</v>
      </c>
      <c r="G23" s="223">
        <v>0</v>
      </c>
      <c r="H23" s="37" t="s">
        <v>44</v>
      </c>
    </row>
    <row r="24" spans="1:8" ht="18.95" customHeight="1" thickTop="1" thickBot="1" x14ac:dyDescent="0.25">
      <c r="A24" s="38" t="s">
        <v>263</v>
      </c>
      <c r="B24" s="39" t="s">
        <v>245</v>
      </c>
      <c r="C24" s="40" t="s">
        <v>129</v>
      </c>
      <c r="D24" s="40">
        <v>5</v>
      </c>
      <c r="E24" s="41">
        <v>4227.8999999999996</v>
      </c>
      <c r="F24" s="41">
        <v>4672</v>
      </c>
      <c r="G24" s="42">
        <v>5162.7</v>
      </c>
      <c r="H24" s="37" t="s">
        <v>53</v>
      </c>
    </row>
    <row r="25" spans="1:8" ht="18.95" customHeight="1" thickTop="1" thickBot="1" x14ac:dyDescent="0.25">
      <c r="A25" s="38" t="s">
        <v>264</v>
      </c>
      <c r="B25" s="39" t="s">
        <v>265</v>
      </c>
      <c r="C25" s="40" t="s">
        <v>129</v>
      </c>
      <c r="D25" s="40">
        <v>5</v>
      </c>
      <c r="E25" s="41">
        <v>6215.2</v>
      </c>
      <c r="F25" s="41">
        <v>6866.8</v>
      </c>
      <c r="G25" s="42">
        <v>7586.7</v>
      </c>
      <c r="H25" s="37" t="s">
        <v>50</v>
      </c>
    </row>
    <row r="26" spans="1:8" ht="22.7" customHeight="1" thickTop="1" thickBot="1" x14ac:dyDescent="0.25">
      <c r="A26" s="38" t="s">
        <v>266</v>
      </c>
      <c r="B26" s="39" t="s">
        <v>255</v>
      </c>
      <c r="C26" s="40" t="s">
        <v>129</v>
      </c>
      <c r="D26" s="40">
        <v>5</v>
      </c>
      <c r="E26" s="72">
        <v>7822.2</v>
      </c>
      <c r="F26" s="72">
        <v>8642.2000000000007</v>
      </c>
      <c r="G26" s="73">
        <v>9548.2000000000007</v>
      </c>
      <c r="H26" s="37" t="s">
        <v>50</v>
      </c>
    </row>
    <row r="27" spans="1:8" ht="18.95" customHeight="1" thickTop="1" thickBot="1" x14ac:dyDescent="0.25">
      <c r="A27" s="221" t="s">
        <v>267</v>
      </c>
      <c r="B27" s="222">
        <v>0</v>
      </c>
      <c r="C27" s="222">
        <v>0</v>
      </c>
      <c r="D27" s="222" t="e">
        <v>#REF!</v>
      </c>
      <c r="E27" s="222">
        <v>0</v>
      </c>
      <c r="F27" s="222">
        <v>0</v>
      </c>
      <c r="G27" s="223">
        <v>0</v>
      </c>
      <c r="H27" s="37" t="s">
        <v>44</v>
      </c>
    </row>
    <row r="28" spans="1:8" ht="18.95" customHeight="1" thickTop="1" thickBot="1" x14ac:dyDescent="0.25">
      <c r="A28" s="221" t="s">
        <v>268</v>
      </c>
      <c r="B28" s="222">
        <v>0</v>
      </c>
      <c r="C28" s="222">
        <v>0</v>
      </c>
      <c r="D28" s="222" t="e">
        <v>#REF!</v>
      </c>
      <c r="E28" s="222">
        <v>0</v>
      </c>
      <c r="F28" s="222">
        <v>0</v>
      </c>
      <c r="G28" s="223">
        <v>0</v>
      </c>
      <c r="H28" s="37" t="s">
        <v>44</v>
      </c>
    </row>
    <row r="29" spans="1:8" ht="36" customHeight="1" thickTop="1" thickBot="1" x14ac:dyDescent="0.25">
      <c r="A29" s="38" t="s">
        <v>269</v>
      </c>
      <c r="B29" s="39" t="s">
        <v>270</v>
      </c>
      <c r="C29" s="40" t="s">
        <v>129</v>
      </c>
      <c r="D29" s="40">
        <v>4</v>
      </c>
      <c r="E29" s="41">
        <v>13214.6</v>
      </c>
      <c r="F29" s="41">
        <v>14602.5</v>
      </c>
      <c r="G29" s="42">
        <v>16136.2</v>
      </c>
      <c r="H29" s="37" t="s">
        <v>50</v>
      </c>
    </row>
    <row r="30" spans="1:8" ht="18.95" customHeight="1" thickTop="1" thickBot="1" x14ac:dyDescent="0.25">
      <c r="A30" s="38" t="s">
        <v>271</v>
      </c>
      <c r="B30" s="39" t="s">
        <v>272</v>
      </c>
      <c r="C30" s="40" t="s">
        <v>129</v>
      </c>
      <c r="D30" s="40">
        <v>4</v>
      </c>
      <c r="E30" s="41">
        <v>20719.8</v>
      </c>
      <c r="F30" s="41">
        <v>22894.3</v>
      </c>
      <c r="G30" s="42">
        <v>25297</v>
      </c>
      <c r="H30" s="37" t="s">
        <v>50</v>
      </c>
    </row>
    <row r="31" spans="1:8" ht="22.7" customHeight="1" thickTop="1" thickBot="1" x14ac:dyDescent="0.25">
      <c r="A31" s="221" t="s">
        <v>235</v>
      </c>
      <c r="B31" s="222">
        <v>0</v>
      </c>
      <c r="C31" s="222">
        <v>0</v>
      </c>
      <c r="D31" s="222" t="e">
        <v>#REF!</v>
      </c>
      <c r="E31" s="222">
        <v>0</v>
      </c>
      <c r="F31" s="222">
        <v>0</v>
      </c>
      <c r="G31" s="223">
        <v>0</v>
      </c>
      <c r="H31" s="37" t="s">
        <v>44</v>
      </c>
    </row>
    <row r="32" spans="1:8" ht="18.95" customHeight="1" thickTop="1" thickBot="1" x14ac:dyDescent="0.25">
      <c r="A32" s="38" t="s">
        <v>273</v>
      </c>
      <c r="B32" s="39" t="s">
        <v>274</v>
      </c>
      <c r="C32" s="40" t="s">
        <v>129</v>
      </c>
      <c r="D32" s="40">
        <v>6</v>
      </c>
      <c r="E32" s="41">
        <v>8122.4</v>
      </c>
      <c r="F32" s="41">
        <v>8975.4</v>
      </c>
      <c r="G32" s="42">
        <v>9918</v>
      </c>
      <c r="H32" s="37" t="s">
        <v>50</v>
      </c>
    </row>
    <row r="33" spans="1:8" ht="18.95" customHeight="1" thickTop="1" thickBot="1" x14ac:dyDescent="0.25">
      <c r="A33" s="38" t="s">
        <v>275</v>
      </c>
      <c r="B33" s="39" t="s">
        <v>276</v>
      </c>
      <c r="C33" s="40" t="s">
        <v>129</v>
      </c>
      <c r="D33" s="40">
        <v>4</v>
      </c>
      <c r="E33" s="41">
        <v>13970.4</v>
      </c>
      <c r="F33" s="41">
        <v>15437.3</v>
      </c>
      <c r="G33" s="42">
        <v>17058.2</v>
      </c>
      <c r="H33" s="37" t="s">
        <v>53</v>
      </c>
    </row>
    <row r="34" spans="1:8" ht="18.95" customHeight="1" thickTop="1" thickBot="1" x14ac:dyDescent="0.25">
      <c r="A34" s="221" t="s">
        <v>277</v>
      </c>
      <c r="B34" s="222">
        <v>0</v>
      </c>
      <c r="C34" s="222">
        <v>0</v>
      </c>
      <c r="D34" s="222" t="e">
        <v>#REF!</v>
      </c>
      <c r="E34" s="222">
        <v>0</v>
      </c>
      <c r="F34" s="222">
        <v>0</v>
      </c>
      <c r="G34" s="223">
        <v>0</v>
      </c>
      <c r="H34" s="37" t="s">
        <v>44</v>
      </c>
    </row>
    <row r="35" spans="1:8" ht="18.95" customHeight="1" thickTop="1" thickBot="1" x14ac:dyDescent="0.25">
      <c r="A35" s="221" t="s">
        <v>235</v>
      </c>
      <c r="B35" s="222">
        <v>0</v>
      </c>
      <c r="C35" s="222">
        <v>0</v>
      </c>
      <c r="D35" s="222" t="e">
        <v>#REF!</v>
      </c>
      <c r="E35" s="222">
        <v>0</v>
      </c>
      <c r="F35" s="222">
        <v>0</v>
      </c>
      <c r="G35" s="223">
        <v>0</v>
      </c>
      <c r="H35" s="37" t="s">
        <v>44</v>
      </c>
    </row>
    <row r="36" spans="1:8" ht="18.95" customHeight="1" thickTop="1" thickBot="1" x14ac:dyDescent="0.25">
      <c r="A36" s="38" t="s">
        <v>278</v>
      </c>
      <c r="B36" s="39" t="s">
        <v>279</v>
      </c>
      <c r="C36" s="40" t="s">
        <v>129</v>
      </c>
      <c r="D36" s="40">
        <v>24</v>
      </c>
      <c r="E36" s="41">
        <v>800.8</v>
      </c>
      <c r="F36" s="41">
        <v>885.1</v>
      </c>
      <c r="G36" s="42">
        <v>978.3</v>
      </c>
      <c r="H36" s="48" t="s">
        <v>109</v>
      </c>
    </row>
    <row r="37" spans="1:8" ht="18.95" customHeight="1" thickTop="1" thickBot="1" x14ac:dyDescent="0.25">
      <c r="A37" s="38" t="s">
        <v>280</v>
      </c>
      <c r="B37" s="39" t="s">
        <v>281</v>
      </c>
      <c r="C37" s="40" t="s">
        <v>129</v>
      </c>
      <c r="D37" s="40">
        <v>20</v>
      </c>
      <c r="E37" s="41">
        <v>2298.1999999999998</v>
      </c>
      <c r="F37" s="41">
        <v>2539.8000000000002</v>
      </c>
      <c r="G37" s="42">
        <v>2806.8</v>
      </c>
      <c r="H37" s="48" t="s">
        <v>109</v>
      </c>
    </row>
    <row r="38" spans="1:8" ht="18.95" customHeight="1" thickTop="1" thickBot="1" x14ac:dyDescent="0.25">
      <c r="A38" s="38" t="s">
        <v>282</v>
      </c>
      <c r="B38" s="39" t="s">
        <v>283</v>
      </c>
      <c r="C38" s="40" t="s">
        <v>129</v>
      </c>
      <c r="D38" s="40">
        <v>20</v>
      </c>
      <c r="E38" s="41">
        <v>878.6</v>
      </c>
      <c r="F38" s="41">
        <v>971.1</v>
      </c>
      <c r="G38" s="42">
        <v>1073.3</v>
      </c>
      <c r="H38" s="48" t="s">
        <v>109</v>
      </c>
    </row>
    <row r="39" spans="1:8" ht="18.95" customHeight="1" thickTop="1" thickBot="1" x14ac:dyDescent="0.25">
      <c r="A39" s="38" t="s">
        <v>284</v>
      </c>
      <c r="B39" s="39" t="s">
        <v>285</v>
      </c>
      <c r="C39" s="40" t="s">
        <v>129</v>
      </c>
      <c r="D39" s="40">
        <v>16</v>
      </c>
      <c r="E39" s="41">
        <v>3138.7</v>
      </c>
      <c r="F39" s="41">
        <v>3468.5</v>
      </c>
      <c r="G39" s="42">
        <v>3833</v>
      </c>
      <c r="H39" s="48" t="s">
        <v>109</v>
      </c>
    </row>
    <row r="40" spans="1:8" ht="18.95" customHeight="1" thickTop="1" thickBot="1" x14ac:dyDescent="0.25">
      <c r="A40" s="38" t="s">
        <v>286</v>
      </c>
      <c r="B40" s="39" t="s">
        <v>287</v>
      </c>
      <c r="C40" s="40" t="s">
        <v>129</v>
      </c>
      <c r="D40" s="40">
        <v>20</v>
      </c>
      <c r="E40" s="41">
        <v>1176.9000000000001</v>
      </c>
      <c r="F40" s="41">
        <v>1300.3</v>
      </c>
      <c r="G40" s="42">
        <v>1436.6</v>
      </c>
      <c r="H40" s="48" t="s">
        <v>109</v>
      </c>
    </row>
    <row r="41" spans="1:8" ht="18.95" customHeight="1" thickTop="1" thickBot="1" x14ac:dyDescent="0.25">
      <c r="A41" s="38" t="s">
        <v>288</v>
      </c>
      <c r="B41" s="39" t="s">
        <v>289</v>
      </c>
      <c r="C41" s="40" t="s">
        <v>129</v>
      </c>
      <c r="D41" s="40">
        <v>10</v>
      </c>
      <c r="E41" s="41">
        <v>4413.3</v>
      </c>
      <c r="F41" s="41">
        <v>4875.8999999999996</v>
      </c>
      <c r="G41" s="42">
        <v>5387</v>
      </c>
      <c r="H41" s="48" t="s">
        <v>109</v>
      </c>
    </row>
    <row r="42" spans="1:8" ht="18.95" customHeight="1" thickTop="1" thickBot="1" x14ac:dyDescent="0.25">
      <c r="A42" s="38" t="s">
        <v>290</v>
      </c>
      <c r="B42" s="39" t="s">
        <v>291</v>
      </c>
      <c r="C42" s="40" t="s">
        <v>129</v>
      </c>
      <c r="D42" s="40">
        <v>10</v>
      </c>
      <c r="E42" s="41">
        <v>1594.3</v>
      </c>
      <c r="F42" s="41">
        <v>1761.3</v>
      </c>
      <c r="G42" s="42">
        <v>1945.8</v>
      </c>
      <c r="H42" s="48" t="s">
        <v>109</v>
      </c>
    </row>
    <row r="43" spans="1:8" ht="18.95" customHeight="1" thickTop="1" thickBot="1" x14ac:dyDescent="0.25">
      <c r="A43" s="38" t="s">
        <v>292</v>
      </c>
      <c r="B43" s="39" t="s">
        <v>293</v>
      </c>
      <c r="C43" s="40" t="s">
        <v>129</v>
      </c>
      <c r="D43" s="40">
        <v>8</v>
      </c>
      <c r="E43" s="41">
        <v>5516</v>
      </c>
      <c r="F43" s="41">
        <v>6094.3</v>
      </c>
      <c r="G43" s="42">
        <v>6733.2</v>
      </c>
      <c r="H43" s="48" t="s">
        <v>109</v>
      </c>
    </row>
    <row r="44" spans="1:8" ht="18.95" customHeight="1" thickTop="1" thickBot="1" x14ac:dyDescent="0.25">
      <c r="A44" s="38" t="s">
        <v>294</v>
      </c>
      <c r="B44" s="39" t="s">
        <v>295</v>
      </c>
      <c r="C44" s="40" t="s">
        <v>129</v>
      </c>
      <c r="D44" s="40">
        <v>10</v>
      </c>
      <c r="E44" s="41">
        <v>1823.1</v>
      </c>
      <c r="F44" s="41">
        <v>2014</v>
      </c>
      <c r="G44" s="42">
        <v>2224.9</v>
      </c>
      <c r="H44" s="48" t="s">
        <v>109</v>
      </c>
    </row>
    <row r="45" spans="1:8" ht="18.95" customHeight="1" thickTop="1" thickBot="1" x14ac:dyDescent="0.25">
      <c r="A45" s="38" t="s">
        <v>296</v>
      </c>
      <c r="B45" s="39" t="s">
        <v>297</v>
      </c>
      <c r="C45" s="40" t="s">
        <v>129</v>
      </c>
      <c r="D45" s="40">
        <v>10</v>
      </c>
      <c r="E45" s="41">
        <v>6618.8</v>
      </c>
      <c r="F45" s="41">
        <v>7313.8</v>
      </c>
      <c r="G45" s="42">
        <v>8081.8</v>
      </c>
      <c r="H45" s="48" t="s">
        <v>109</v>
      </c>
    </row>
    <row r="46" spans="1:8" ht="18.95" customHeight="1" thickTop="1" thickBot="1" x14ac:dyDescent="0.25">
      <c r="A46" s="38" t="s">
        <v>298</v>
      </c>
      <c r="B46" s="39" t="s">
        <v>299</v>
      </c>
      <c r="C46" s="40" t="s">
        <v>129</v>
      </c>
      <c r="D46" s="40">
        <v>8</v>
      </c>
      <c r="E46" s="41">
        <v>2099</v>
      </c>
      <c r="F46" s="41">
        <v>2319.5</v>
      </c>
      <c r="G46" s="42">
        <v>2563.1999999999998</v>
      </c>
      <c r="H46" s="48" t="s">
        <v>109</v>
      </c>
    </row>
    <row r="47" spans="1:8" ht="18.95" customHeight="1" thickTop="1" thickBot="1" x14ac:dyDescent="0.25">
      <c r="A47" s="38" t="s">
        <v>300</v>
      </c>
      <c r="B47" s="39" t="s">
        <v>301</v>
      </c>
      <c r="C47" s="40" t="s">
        <v>129</v>
      </c>
      <c r="D47" s="40">
        <v>10</v>
      </c>
      <c r="E47" s="41">
        <v>8824.1</v>
      </c>
      <c r="F47" s="41">
        <v>9750.7000000000007</v>
      </c>
      <c r="G47" s="42">
        <v>10774.6</v>
      </c>
      <c r="H47" s="48" t="s">
        <v>109</v>
      </c>
    </row>
    <row r="48" spans="1:8" ht="18.95" customHeight="1" thickTop="1" thickBot="1" x14ac:dyDescent="0.25">
      <c r="A48" s="38" t="s">
        <v>302</v>
      </c>
      <c r="B48" s="39" t="s">
        <v>303</v>
      </c>
      <c r="C48" s="40" t="s">
        <v>129</v>
      </c>
      <c r="D48" s="40">
        <v>8</v>
      </c>
      <c r="E48" s="41">
        <v>3186.3</v>
      </c>
      <c r="F48" s="41">
        <v>3520.7</v>
      </c>
      <c r="G48" s="42">
        <v>3890.2</v>
      </c>
      <c r="H48" s="48" t="s">
        <v>109</v>
      </c>
    </row>
    <row r="49" spans="1:8" ht="18.95" customHeight="1" thickTop="1" thickBot="1" x14ac:dyDescent="0.25">
      <c r="A49" s="49" t="s">
        <v>304</v>
      </c>
      <c r="B49" s="50" t="s">
        <v>305</v>
      </c>
      <c r="C49" s="51" t="s">
        <v>129</v>
      </c>
      <c r="D49" s="51">
        <v>4</v>
      </c>
      <c r="E49" s="52">
        <v>3211.8</v>
      </c>
      <c r="F49" s="52">
        <v>3549.5</v>
      </c>
      <c r="G49" s="53">
        <v>3922.7</v>
      </c>
      <c r="H49" s="74" t="s">
        <v>109</v>
      </c>
    </row>
    <row r="50" spans="1:8" ht="18.95" customHeight="1" thickTop="1" x14ac:dyDescent="0.2">
      <c r="A50" s="55"/>
      <c r="B50" s="56"/>
      <c r="C50" s="57"/>
      <c r="D50" s="57"/>
      <c r="E50" s="58"/>
      <c r="F50" s="58"/>
      <c r="G50" s="58"/>
      <c r="H50" s="59"/>
    </row>
    <row r="51" spans="1:8" ht="18.95" customHeight="1" x14ac:dyDescent="0.2">
      <c r="A51" s="55"/>
      <c r="B51" s="56"/>
      <c r="C51" s="57"/>
      <c r="D51" s="57"/>
      <c r="E51" s="58"/>
      <c r="F51" s="58"/>
      <c r="G51" s="58"/>
      <c r="H51" s="59"/>
    </row>
    <row r="52" spans="1:8" ht="18.95" customHeight="1" x14ac:dyDescent="0.2">
      <c r="A52" s="55"/>
      <c r="B52" s="56"/>
      <c r="C52" s="57"/>
      <c r="D52" s="57"/>
      <c r="E52" s="58"/>
      <c r="F52" s="58"/>
      <c r="G52" s="58"/>
      <c r="H52" s="59"/>
    </row>
    <row r="53" spans="1:8" ht="18.95" customHeight="1" x14ac:dyDescent="0.2">
      <c r="A53" s="55"/>
      <c r="B53" s="56"/>
      <c r="C53" s="57"/>
      <c r="D53" s="57"/>
      <c r="E53" s="58"/>
      <c r="F53" s="58"/>
      <c r="G53" s="58"/>
      <c r="H53" s="59"/>
    </row>
    <row r="54" spans="1:8" ht="18.95" customHeight="1" x14ac:dyDescent="0.2">
      <c r="A54" s="55"/>
      <c r="B54" s="56"/>
      <c r="C54" s="57"/>
      <c r="D54" s="57"/>
      <c r="E54" s="58"/>
      <c r="F54" s="58"/>
      <c r="G54" s="58"/>
      <c r="H54" s="59"/>
    </row>
    <row r="55" spans="1:8" ht="18.95" customHeight="1" x14ac:dyDescent="0.2">
      <c r="A55" s="55"/>
      <c r="B55" s="56"/>
      <c r="C55" s="57"/>
      <c r="D55" s="57"/>
      <c r="E55" s="58"/>
      <c r="F55" s="58"/>
      <c r="G55" s="58"/>
      <c r="H55" s="59"/>
    </row>
    <row r="56" spans="1:8" ht="18.95" customHeight="1" x14ac:dyDescent="0.2">
      <c r="A56" s="55"/>
      <c r="B56" s="56"/>
      <c r="C56" s="57"/>
      <c r="D56" s="57"/>
      <c r="E56" s="58"/>
      <c r="F56" s="58"/>
      <c r="G56" s="58"/>
      <c r="H56" s="59"/>
    </row>
    <row r="57" spans="1:8" ht="18.95" customHeight="1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  <row r="68" spans="1:8" x14ac:dyDescent="0.2">
      <c r="A68" s="55"/>
      <c r="B68" s="56"/>
      <c r="C68" s="57"/>
      <c r="D68" s="57"/>
      <c r="E68" s="58"/>
      <c r="F68" s="58"/>
      <c r="G68" s="58"/>
      <c r="H68" s="59"/>
    </row>
    <row r="69" spans="1:8" x14ac:dyDescent="0.2">
      <c r="A69" s="55"/>
      <c r="B69" s="56"/>
      <c r="C69" s="57"/>
      <c r="D69" s="57"/>
      <c r="E69" s="58"/>
      <c r="F69" s="58"/>
      <c r="G69" s="58"/>
      <c r="H69" s="59"/>
    </row>
    <row r="70" spans="1:8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  <row r="72" spans="1:8" x14ac:dyDescent="0.2">
      <c r="A72" s="55"/>
      <c r="B72" s="56"/>
      <c r="C72" s="57"/>
      <c r="D72" s="57"/>
      <c r="E72" s="58"/>
      <c r="F72" s="58"/>
      <c r="G72" s="58"/>
      <c r="H72" s="59"/>
    </row>
    <row r="73" spans="1:8" x14ac:dyDescent="0.2">
      <c r="A73" s="55"/>
      <c r="B73" s="56"/>
      <c r="C73" s="57"/>
      <c r="D73" s="57"/>
      <c r="E73" s="58"/>
      <c r="F73" s="58"/>
      <c r="G73" s="58"/>
      <c r="H73" s="59"/>
    </row>
    <row r="74" spans="1:8" x14ac:dyDescent="0.2">
      <c r="A74" s="55"/>
      <c r="B74" s="56"/>
      <c r="C74" s="57"/>
      <c r="D74" s="57"/>
      <c r="E74" s="58"/>
      <c r="F74" s="58"/>
      <c r="G74" s="58"/>
      <c r="H74" s="59"/>
    </row>
    <row r="75" spans="1:8" x14ac:dyDescent="0.2">
      <c r="A75" s="55"/>
      <c r="B75" s="56"/>
      <c r="C75" s="57"/>
      <c r="D75" s="57"/>
      <c r="E75" s="58"/>
      <c r="F75" s="58"/>
      <c r="G75" s="58"/>
      <c r="H75" s="59"/>
    </row>
    <row r="76" spans="1:8" x14ac:dyDescent="0.2">
      <c r="A76" s="55"/>
      <c r="B76" s="56"/>
      <c r="C76" s="57"/>
      <c r="D76" s="57"/>
      <c r="E76" s="58"/>
      <c r="F76" s="58"/>
      <c r="G76" s="58"/>
      <c r="H76" s="59"/>
    </row>
    <row r="77" spans="1:8" x14ac:dyDescent="0.2">
      <c r="A77" s="55"/>
      <c r="B77" s="56"/>
      <c r="C77" s="57"/>
      <c r="D77" s="57"/>
      <c r="E77" s="58"/>
      <c r="F77" s="58"/>
      <c r="G77" s="58"/>
      <c r="H77" s="59"/>
    </row>
    <row r="78" spans="1:8" x14ac:dyDescent="0.2">
      <c r="A78" s="55"/>
      <c r="B78" s="56"/>
      <c r="C78" s="57"/>
      <c r="D78" s="57"/>
      <c r="E78" s="58"/>
      <c r="F78" s="58"/>
      <c r="G78" s="58"/>
      <c r="H78" s="59"/>
    </row>
    <row r="79" spans="1:8" x14ac:dyDescent="0.2">
      <c r="A79" s="55"/>
      <c r="B79" s="56"/>
      <c r="C79" s="57"/>
      <c r="D79" s="57"/>
      <c r="E79" s="58"/>
      <c r="F79" s="58"/>
      <c r="G79" s="58"/>
      <c r="H79" s="59"/>
    </row>
    <row r="80" spans="1:8" x14ac:dyDescent="0.2">
      <c r="A80" s="55"/>
      <c r="B80" s="56"/>
      <c r="C80" s="57"/>
      <c r="D80" s="57"/>
      <c r="E80" s="58"/>
      <c r="F80" s="58"/>
      <c r="G80" s="58"/>
      <c r="H80" s="59"/>
    </row>
    <row r="81" spans="1:8" x14ac:dyDescent="0.2">
      <c r="A81" s="55"/>
      <c r="B81" s="56"/>
      <c r="C81" s="57"/>
      <c r="D81" s="57"/>
      <c r="E81" s="58"/>
      <c r="F81" s="58"/>
      <c r="G81" s="58"/>
      <c r="H81" s="59"/>
    </row>
    <row r="82" spans="1:8" x14ac:dyDescent="0.2">
      <c r="A82" s="55"/>
      <c r="B82" s="56"/>
      <c r="C82" s="57"/>
      <c r="D82" s="57"/>
      <c r="E82" s="58"/>
      <c r="F82" s="58"/>
      <c r="G82" s="58"/>
      <c r="H82" s="59"/>
    </row>
    <row r="83" spans="1:8" x14ac:dyDescent="0.2">
      <c r="A83" s="55"/>
      <c r="B83" s="56"/>
      <c r="C83" s="57"/>
      <c r="D83" s="57"/>
      <c r="E83" s="58"/>
      <c r="F83" s="58"/>
      <c r="G83" s="58"/>
      <c r="H83" s="59"/>
    </row>
    <row r="84" spans="1:8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  <row r="87" spans="1:8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  <row r="91" spans="1:8" x14ac:dyDescent="0.2">
      <c r="A91" s="55"/>
      <c r="B91" s="56"/>
      <c r="C91" s="57"/>
      <c r="D91" s="57"/>
      <c r="E91" s="58"/>
      <c r="F91" s="58"/>
      <c r="G91" s="58"/>
      <c r="H91" s="59"/>
    </row>
    <row r="92" spans="1:8" x14ac:dyDescent="0.2">
      <c r="A92" s="55"/>
      <c r="B92" s="56"/>
      <c r="C92" s="57"/>
      <c r="D92" s="57"/>
      <c r="E92" s="58"/>
      <c r="F92" s="58"/>
      <c r="G92" s="58"/>
      <c r="H92" s="59"/>
    </row>
    <row r="93" spans="1:8" x14ac:dyDescent="0.2">
      <c r="A93" s="55"/>
      <c r="B93" s="56"/>
      <c r="C93" s="57"/>
      <c r="D93" s="57"/>
      <c r="E93" s="58"/>
      <c r="F93" s="58"/>
      <c r="G93" s="58"/>
      <c r="H93" s="59"/>
    </row>
    <row r="94" spans="1:8" x14ac:dyDescent="0.2">
      <c r="A94" s="55"/>
      <c r="B94" s="56"/>
      <c r="C94" s="57"/>
      <c r="D94" s="57"/>
      <c r="E94" s="58"/>
      <c r="F94" s="58"/>
      <c r="G94" s="58"/>
      <c r="H94" s="59"/>
    </row>
  </sheetData>
  <mergeCells count="17">
    <mergeCell ref="A1:B1"/>
    <mergeCell ref="A2:A3"/>
    <mergeCell ref="B2:B3"/>
    <mergeCell ref="C2:C3"/>
    <mergeCell ref="D2:D3"/>
    <mergeCell ref="A28:G28"/>
    <mergeCell ref="A31:G31"/>
    <mergeCell ref="A34:G34"/>
    <mergeCell ref="A35:G35"/>
    <mergeCell ref="H2:H3"/>
    <mergeCell ref="A7:G7"/>
    <mergeCell ref="A8:G8"/>
    <mergeCell ref="A9:G9"/>
    <mergeCell ref="A27:G27"/>
    <mergeCell ref="A23:G23"/>
    <mergeCell ref="E2:F2"/>
    <mergeCell ref="G2:G3"/>
  </mergeCells>
  <phoneticPr fontId="0" type="noConversion"/>
  <conditionalFormatting sqref="C24:D26 C36:D49 C1:C2 D1:D3">
    <cfRule type="cellIs" dxfId="229" priority="14" stopIfTrue="1" operator="equal">
      <formula>0</formula>
    </cfRule>
  </conditionalFormatting>
  <conditionalFormatting sqref="C9:D9">
    <cfRule type="cellIs" dxfId="228" priority="12" stopIfTrue="1" operator="equal">
      <formula>0</formula>
    </cfRule>
  </conditionalFormatting>
  <conditionalFormatting sqref="C8:D8">
    <cfRule type="cellIs" dxfId="227" priority="13" stopIfTrue="1" operator="equal">
      <formula>0</formula>
    </cfRule>
  </conditionalFormatting>
  <conditionalFormatting sqref="C35:D35">
    <cfRule type="cellIs" dxfId="226" priority="11" stopIfTrue="1" operator="equal">
      <formula>0</formula>
    </cfRule>
  </conditionalFormatting>
  <conditionalFormatting sqref="C7:D7">
    <cfRule type="cellIs" dxfId="225" priority="10" stopIfTrue="1" operator="equal">
      <formula>0</formula>
    </cfRule>
  </conditionalFormatting>
  <conditionalFormatting sqref="C29:D30">
    <cfRule type="cellIs" dxfId="224" priority="9" stopIfTrue="1" operator="equal">
      <formula>0</formula>
    </cfRule>
  </conditionalFormatting>
  <conditionalFormatting sqref="C31:D31">
    <cfRule type="cellIs" dxfId="223" priority="7" stopIfTrue="1" operator="equal">
      <formula>0</formula>
    </cfRule>
  </conditionalFormatting>
  <conditionalFormatting sqref="C34:D34">
    <cfRule type="cellIs" dxfId="222" priority="6" stopIfTrue="1" operator="equal">
      <formula>0</formula>
    </cfRule>
  </conditionalFormatting>
  <conditionalFormatting sqref="C28:D28">
    <cfRule type="cellIs" dxfId="221" priority="5" stopIfTrue="1" operator="equal">
      <formula>0</formula>
    </cfRule>
  </conditionalFormatting>
  <conditionalFormatting sqref="C32:D33">
    <cfRule type="cellIs" dxfId="220" priority="4" stopIfTrue="1" operator="equal">
      <formula>0</formula>
    </cfRule>
  </conditionalFormatting>
  <conditionalFormatting sqref="C10:D22">
    <cfRule type="cellIs" dxfId="219" priority="3" stopIfTrue="1" operator="equal">
      <formula>0</formula>
    </cfRule>
  </conditionalFormatting>
  <conditionalFormatting sqref="C27:D27">
    <cfRule type="cellIs" dxfId="218" priority="8" stopIfTrue="1" operator="equal">
      <formula>0</formula>
    </cfRule>
  </conditionalFormatting>
  <conditionalFormatting sqref="C23:D23">
    <cfRule type="cellIs" dxfId="217" priority="2" stopIfTrue="1" operator="equal">
      <formula>0</formula>
    </cfRule>
  </conditionalFormatting>
  <conditionalFormatting sqref="C50:D94">
    <cfRule type="cellIs" dxfId="216" priority="1" stopIfTrue="1" operator="equal">
      <formula>0</formula>
    </cfRule>
  </conditionalFormatting>
  <hyperlinks>
    <hyperlink ref="H36:H49" location="'Провода цвета'!A1" display="!!!"/>
  </hyperlinks>
  <pageMargins left="0.15748031496062992" right="0.15748031496062992" top="0.39370078740157483" bottom="0.35433070866141736" header="0" footer="0.15748031496062992"/>
  <pageSetup paperSize="9" scale="63" fitToHeight="6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39"/>
  <sheetViews>
    <sheetView zoomScale="70" zoomScaleNormal="70" workbookViewId="0">
      <pane ySplit="3" topLeftCell="A4" activePane="bottomLeft" state="frozen"/>
      <selection activeCell="H2" sqref="H2:H3"/>
    </sheetView>
  </sheetViews>
  <sheetFormatPr defaultRowHeight="12.75" x14ac:dyDescent="0.2"/>
  <cols>
    <col min="1" max="1" width="22.42578125" customWidth="1"/>
    <col min="2" max="2" width="86.5703125" customWidth="1"/>
    <col min="3" max="3" width="11.5703125" customWidth="1"/>
    <col min="4" max="4" width="10.140625" customWidth="1"/>
    <col min="5" max="5" width="10.85546875" customWidth="1"/>
    <col min="6" max="7" width="10.42578125" customWidth="1"/>
  </cols>
  <sheetData>
    <row r="1" ht="15.75" customHeight="1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3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0.700000000000003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8.2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8.2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8.2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4.1" customHeight="1" thickTop="1" thickBot="1" x14ac:dyDescent="0.25">
      <c r="A7" s="221" t="s">
        <v>233</v>
      </c>
      <c r="B7" s="222">
        <v>0</v>
      </c>
      <c r="C7" s="222">
        <v>0</v>
      </c>
      <c r="D7" s="222">
        <v>0</v>
      </c>
      <c r="E7" s="222">
        <v>0</v>
      </c>
      <c r="F7" s="222">
        <v>0</v>
      </c>
      <c r="G7" s="223">
        <v>0</v>
      </c>
      <c r="H7" s="37" t="s">
        <v>44</v>
      </c>
    </row>
    <row r="8" spans="1:8" ht="14.1" customHeight="1" thickTop="1" thickBot="1" x14ac:dyDescent="0.25">
      <c r="A8" s="221" t="s">
        <v>267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3">
        <v>0</v>
      </c>
      <c r="H8" s="37" t="s">
        <v>44</v>
      </c>
    </row>
    <row r="9" spans="1:8" ht="14.1" customHeight="1" thickTop="1" thickBot="1" x14ac:dyDescent="0.25">
      <c r="A9" s="38" t="s">
        <v>235</v>
      </c>
      <c r="B9" s="39">
        <v>0</v>
      </c>
      <c r="C9" s="40">
        <v>0</v>
      </c>
      <c r="D9" s="40">
        <v>0</v>
      </c>
      <c r="E9" s="41">
        <v>0</v>
      </c>
      <c r="F9" s="41">
        <v>0</v>
      </c>
      <c r="G9" s="42">
        <v>0</v>
      </c>
      <c r="H9" s="37" t="s">
        <v>44</v>
      </c>
    </row>
    <row r="10" spans="1:8" ht="14.1" customHeight="1" thickTop="1" thickBot="1" x14ac:dyDescent="0.25">
      <c r="A10" s="38" t="s">
        <v>306</v>
      </c>
      <c r="B10" s="39" t="s">
        <v>307</v>
      </c>
      <c r="C10" s="40" t="s">
        <v>129</v>
      </c>
      <c r="D10" s="40">
        <v>24</v>
      </c>
      <c r="E10" s="41">
        <v>800.8</v>
      </c>
      <c r="F10" s="41">
        <v>885.1</v>
      </c>
      <c r="G10" s="42">
        <v>978.3</v>
      </c>
      <c r="H10" s="37" t="s">
        <v>53</v>
      </c>
    </row>
    <row r="11" spans="1:8" ht="14.1" customHeight="1" thickTop="1" thickBot="1" x14ac:dyDescent="0.25">
      <c r="A11" s="38" t="s">
        <v>308</v>
      </c>
      <c r="B11" s="39" t="s">
        <v>309</v>
      </c>
      <c r="C11" s="40" t="s">
        <v>129</v>
      </c>
      <c r="D11" s="40">
        <v>24</v>
      </c>
      <c r="E11" s="41">
        <v>800.8</v>
      </c>
      <c r="F11" s="41">
        <v>885.1</v>
      </c>
      <c r="G11" s="42">
        <v>978.3</v>
      </c>
      <c r="H11" s="37" t="s">
        <v>53</v>
      </c>
    </row>
    <row r="12" spans="1:8" ht="14.1" customHeight="1" thickTop="1" thickBot="1" x14ac:dyDescent="0.25">
      <c r="A12" s="38" t="s">
        <v>310</v>
      </c>
      <c r="B12" s="39" t="s">
        <v>311</v>
      </c>
      <c r="C12" s="40" t="s">
        <v>129</v>
      </c>
      <c r="D12" s="40">
        <v>24</v>
      </c>
      <c r="E12" s="41">
        <v>800.8</v>
      </c>
      <c r="F12" s="41">
        <v>885.1</v>
      </c>
      <c r="G12" s="42">
        <v>978.3</v>
      </c>
      <c r="H12" s="37" t="s">
        <v>53</v>
      </c>
    </row>
    <row r="13" spans="1:8" ht="14.1" customHeight="1" thickTop="1" thickBot="1" x14ac:dyDescent="0.25">
      <c r="A13" s="38" t="s">
        <v>312</v>
      </c>
      <c r="B13" s="39" t="s">
        <v>313</v>
      </c>
      <c r="C13" s="40" t="s">
        <v>129</v>
      </c>
      <c r="D13" s="40">
        <v>24</v>
      </c>
      <c r="E13" s="41">
        <v>800.8</v>
      </c>
      <c r="F13" s="41">
        <v>885.1</v>
      </c>
      <c r="G13" s="42">
        <v>978.3</v>
      </c>
      <c r="H13" s="37" t="s">
        <v>53</v>
      </c>
    </row>
    <row r="14" spans="1:8" ht="14.1" customHeight="1" thickTop="1" thickBot="1" x14ac:dyDescent="0.25">
      <c r="A14" s="38" t="s">
        <v>314</v>
      </c>
      <c r="B14" s="39" t="s">
        <v>315</v>
      </c>
      <c r="C14" s="40" t="s">
        <v>129</v>
      </c>
      <c r="D14" s="40">
        <v>24</v>
      </c>
      <c r="E14" s="41">
        <v>800.8</v>
      </c>
      <c r="F14" s="41">
        <v>885.1</v>
      </c>
      <c r="G14" s="42">
        <v>978.3</v>
      </c>
      <c r="H14" s="37" t="s">
        <v>53</v>
      </c>
    </row>
    <row r="15" spans="1:8" ht="14.1" customHeight="1" thickTop="1" thickBot="1" x14ac:dyDescent="0.25">
      <c r="A15" s="38" t="s">
        <v>316</v>
      </c>
      <c r="B15" s="39" t="s">
        <v>317</v>
      </c>
      <c r="C15" s="40" t="s">
        <v>129</v>
      </c>
      <c r="D15" s="40">
        <v>24</v>
      </c>
      <c r="E15" s="41">
        <v>800.8</v>
      </c>
      <c r="F15" s="41">
        <v>885.1</v>
      </c>
      <c r="G15" s="42">
        <v>978.3</v>
      </c>
      <c r="H15" s="37" t="s">
        <v>53</v>
      </c>
    </row>
    <row r="16" spans="1:8" ht="14.1" customHeight="1" thickTop="1" thickBot="1" x14ac:dyDescent="0.25">
      <c r="A16" s="38" t="s">
        <v>318</v>
      </c>
      <c r="B16" s="39" t="s">
        <v>319</v>
      </c>
      <c r="C16" s="40" t="s">
        <v>129</v>
      </c>
      <c r="D16" s="40">
        <v>24</v>
      </c>
      <c r="E16" s="41">
        <v>800.8</v>
      </c>
      <c r="F16" s="41">
        <v>885.1</v>
      </c>
      <c r="G16" s="42">
        <v>978.3</v>
      </c>
      <c r="H16" s="37" t="s">
        <v>53</v>
      </c>
    </row>
    <row r="17" spans="1:8" ht="14.1" customHeight="1" thickTop="1" thickBot="1" x14ac:dyDescent="0.25">
      <c r="A17" s="38" t="s">
        <v>320</v>
      </c>
      <c r="B17" s="39" t="s">
        <v>321</v>
      </c>
      <c r="C17" s="40" t="s">
        <v>129</v>
      </c>
      <c r="D17" s="40">
        <v>20</v>
      </c>
      <c r="E17" s="41">
        <v>2298.1999999999998</v>
      </c>
      <c r="F17" s="41">
        <v>2539.8000000000002</v>
      </c>
      <c r="G17" s="42">
        <v>2806.8</v>
      </c>
      <c r="H17" s="37" t="s">
        <v>53</v>
      </c>
    </row>
    <row r="18" spans="1:8" ht="14.1" customHeight="1" thickTop="1" thickBot="1" x14ac:dyDescent="0.25">
      <c r="A18" s="38" t="s">
        <v>322</v>
      </c>
      <c r="B18" s="39" t="s">
        <v>323</v>
      </c>
      <c r="C18" s="40" t="s">
        <v>129</v>
      </c>
      <c r="D18" s="40">
        <v>20</v>
      </c>
      <c r="E18" s="41">
        <v>2298.1999999999998</v>
      </c>
      <c r="F18" s="41">
        <v>2539.8000000000002</v>
      </c>
      <c r="G18" s="42">
        <v>2806.8</v>
      </c>
      <c r="H18" s="37" t="s">
        <v>53</v>
      </c>
    </row>
    <row r="19" spans="1:8" ht="14.1" customHeight="1" thickTop="1" thickBot="1" x14ac:dyDescent="0.25">
      <c r="A19" s="38" t="s">
        <v>324</v>
      </c>
      <c r="B19" s="39" t="s">
        <v>325</v>
      </c>
      <c r="C19" s="40" t="s">
        <v>129</v>
      </c>
      <c r="D19" s="40">
        <v>20</v>
      </c>
      <c r="E19" s="41">
        <v>2298.1999999999998</v>
      </c>
      <c r="F19" s="41">
        <v>2539.8000000000002</v>
      </c>
      <c r="G19" s="42">
        <v>2806.8</v>
      </c>
      <c r="H19" s="37" t="s">
        <v>53</v>
      </c>
    </row>
    <row r="20" spans="1:8" ht="14.1" customHeight="1" thickTop="1" thickBot="1" x14ac:dyDescent="0.25">
      <c r="A20" s="38" t="s">
        <v>326</v>
      </c>
      <c r="B20" s="39" t="s">
        <v>327</v>
      </c>
      <c r="C20" s="40" t="s">
        <v>129</v>
      </c>
      <c r="D20" s="40">
        <v>20</v>
      </c>
      <c r="E20" s="41">
        <v>2298.1999999999998</v>
      </c>
      <c r="F20" s="41">
        <v>2539.8000000000002</v>
      </c>
      <c r="G20" s="42">
        <v>2806.8</v>
      </c>
      <c r="H20" s="37" t="s">
        <v>53</v>
      </c>
    </row>
    <row r="21" spans="1:8" ht="14.1" customHeight="1" thickTop="1" thickBot="1" x14ac:dyDescent="0.25">
      <c r="A21" s="38" t="s">
        <v>328</v>
      </c>
      <c r="B21" s="39" t="s">
        <v>329</v>
      </c>
      <c r="C21" s="40" t="s">
        <v>129</v>
      </c>
      <c r="D21" s="40">
        <v>20</v>
      </c>
      <c r="E21" s="41">
        <v>2298.1999999999998</v>
      </c>
      <c r="F21" s="41">
        <v>2539.8000000000002</v>
      </c>
      <c r="G21" s="42">
        <v>2806.8</v>
      </c>
      <c r="H21" s="37" t="s">
        <v>53</v>
      </c>
    </row>
    <row r="22" spans="1:8" ht="14.1" customHeight="1" thickTop="1" thickBot="1" x14ac:dyDescent="0.25">
      <c r="A22" s="38" t="s">
        <v>330</v>
      </c>
      <c r="B22" s="39" t="s">
        <v>331</v>
      </c>
      <c r="C22" s="40" t="s">
        <v>129</v>
      </c>
      <c r="D22" s="40">
        <v>20</v>
      </c>
      <c r="E22" s="41">
        <v>878.6</v>
      </c>
      <c r="F22" s="41">
        <v>971.1</v>
      </c>
      <c r="G22" s="42">
        <v>1073.3</v>
      </c>
      <c r="H22" s="37" t="s">
        <v>53</v>
      </c>
    </row>
    <row r="23" spans="1:8" ht="14.1" customHeight="1" thickTop="1" thickBot="1" x14ac:dyDescent="0.25">
      <c r="A23" s="38" t="s">
        <v>332</v>
      </c>
      <c r="B23" s="39" t="s">
        <v>333</v>
      </c>
      <c r="C23" s="40" t="s">
        <v>129</v>
      </c>
      <c r="D23" s="40">
        <v>20</v>
      </c>
      <c r="E23" s="41">
        <v>878.6</v>
      </c>
      <c r="F23" s="41">
        <v>971.1</v>
      </c>
      <c r="G23" s="42">
        <v>1073.3</v>
      </c>
      <c r="H23" s="37" t="s">
        <v>53</v>
      </c>
    </row>
    <row r="24" spans="1:8" ht="14.1" customHeight="1" thickTop="1" thickBot="1" x14ac:dyDescent="0.25">
      <c r="A24" s="38" t="s">
        <v>334</v>
      </c>
      <c r="B24" s="39" t="s">
        <v>335</v>
      </c>
      <c r="C24" s="40" t="s">
        <v>129</v>
      </c>
      <c r="D24" s="40">
        <v>20</v>
      </c>
      <c r="E24" s="41">
        <v>878.6</v>
      </c>
      <c r="F24" s="41">
        <v>971.1</v>
      </c>
      <c r="G24" s="42">
        <v>1073.3</v>
      </c>
      <c r="H24" s="37" t="s">
        <v>53</v>
      </c>
    </row>
    <row r="25" spans="1:8" ht="14.1" customHeight="1" thickTop="1" thickBot="1" x14ac:dyDescent="0.25">
      <c r="A25" s="38" t="s">
        <v>336</v>
      </c>
      <c r="B25" s="39" t="s">
        <v>337</v>
      </c>
      <c r="C25" s="40" t="s">
        <v>129</v>
      </c>
      <c r="D25" s="40">
        <v>20</v>
      </c>
      <c r="E25" s="41">
        <v>878.6</v>
      </c>
      <c r="F25" s="41">
        <v>971.1</v>
      </c>
      <c r="G25" s="42">
        <v>1073.3</v>
      </c>
      <c r="H25" s="37" t="s">
        <v>53</v>
      </c>
    </row>
    <row r="26" spans="1:8" ht="14.1" customHeight="1" thickTop="1" thickBot="1" x14ac:dyDescent="0.25">
      <c r="A26" s="38" t="s">
        <v>338</v>
      </c>
      <c r="B26" s="39" t="s">
        <v>339</v>
      </c>
      <c r="C26" s="40" t="s">
        <v>129</v>
      </c>
      <c r="D26" s="40">
        <v>20</v>
      </c>
      <c r="E26" s="41">
        <v>878.6</v>
      </c>
      <c r="F26" s="41">
        <v>971.1</v>
      </c>
      <c r="G26" s="42">
        <v>1073.3</v>
      </c>
      <c r="H26" s="37" t="s">
        <v>53</v>
      </c>
    </row>
    <row r="27" spans="1:8" ht="14.1" customHeight="1" thickTop="1" thickBot="1" x14ac:dyDescent="0.25">
      <c r="A27" s="38" t="s">
        <v>340</v>
      </c>
      <c r="B27" s="39" t="s">
        <v>341</v>
      </c>
      <c r="C27" s="40" t="s">
        <v>129</v>
      </c>
      <c r="D27" s="40">
        <v>20</v>
      </c>
      <c r="E27" s="41">
        <v>878.6</v>
      </c>
      <c r="F27" s="41">
        <v>971.1</v>
      </c>
      <c r="G27" s="42">
        <v>1073.3</v>
      </c>
      <c r="H27" s="37" t="s">
        <v>53</v>
      </c>
    </row>
    <row r="28" spans="1:8" ht="14.1" customHeight="1" thickTop="1" thickBot="1" x14ac:dyDescent="0.25">
      <c r="A28" s="38" t="s">
        <v>342</v>
      </c>
      <c r="B28" s="39" t="s">
        <v>343</v>
      </c>
      <c r="C28" s="40" t="s">
        <v>129</v>
      </c>
      <c r="D28" s="40">
        <v>20</v>
      </c>
      <c r="E28" s="41">
        <v>878.6</v>
      </c>
      <c r="F28" s="41">
        <v>971.1</v>
      </c>
      <c r="G28" s="42">
        <v>1073.3</v>
      </c>
      <c r="H28" s="37" t="s">
        <v>53</v>
      </c>
    </row>
    <row r="29" spans="1:8" ht="14.1" customHeight="1" thickTop="1" thickBot="1" x14ac:dyDescent="0.25">
      <c r="A29" s="38" t="s">
        <v>344</v>
      </c>
      <c r="B29" s="39" t="s">
        <v>345</v>
      </c>
      <c r="C29" s="40" t="s">
        <v>129</v>
      </c>
      <c r="D29" s="40">
        <v>20</v>
      </c>
      <c r="E29" s="41">
        <v>878.6</v>
      </c>
      <c r="F29" s="41">
        <v>971.1</v>
      </c>
      <c r="G29" s="42">
        <v>1073.3</v>
      </c>
      <c r="H29" s="37" t="s">
        <v>53</v>
      </c>
    </row>
    <row r="30" spans="1:8" ht="14.1" customHeight="1" thickTop="1" thickBot="1" x14ac:dyDescent="0.25">
      <c r="A30" s="38" t="s">
        <v>346</v>
      </c>
      <c r="B30" s="39" t="s">
        <v>347</v>
      </c>
      <c r="C30" s="40" t="s">
        <v>129</v>
      </c>
      <c r="D30" s="40">
        <v>20</v>
      </c>
      <c r="E30" s="41">
        <v>878.6</v>
      </c>
      <c r="F30" s="41">
        <v>971.1</v>
      </c>
      <c r="G30" s="42">
        <v>1073.3</v>
      </c>
      <c r="H30" s="37" t="s">
        <v>53</v>
      </c>
    </row>
    <row r="31" spans="1:8" ht="14.1" customHeight="1" thickTop="1" thickBot="1" x14ac:dyDescent="0.25">
      <c r="A31" s="38" t="s">
        <v>348</v>
      </c>
      <c r="B31" s="39" t="s">
        <v>349</v>
      </c>
      <c r="C31" s="40" t="s">
        <v>129</v>
      </c>
      <c r="D31" s="40">
        <v>16</v>
      </c>
      <c r="E31" s="41">
        <v>3138.7</v>
      </c>
      <c r="F31" s="41">
        <v>3468.5</v>
      </c>
      <c r="G31" s="42">
        <v>3833</v>
      </c>
      <c r="H31" s="37" t="s">
        <v>53</v>
      </c>
    </row>
    <row r="32" spans="1:8" ht="14.1" customHeight="1" thickTop="1" thickBot="1" x14ac:dyDescent="0.25">
      <c r="A32" s="38" t="s">
        <v>350</v>
      </c>
      <c r="B32" s="39" t="s">
        <v>351</v>
      </c>
      <c r="C32" s="40" t="s">
        <v>129</v>
      </c>
      <c r="D32" s="40">
        <v>20</v>
      </c>
      <c r="E32" s="41">
        <v>3138.7</v>
      </c>
      <c r="F32" s="41">
        <v>3468.5</v>
      </c>
      <c r="G32" s="42">
        <v>3833</v>
      </c>
      <c r="H32" s="37" t="s">
        <v>53</v>
      </c>
    </row>
    <row r="33" spans="1:8" ht="14.1" customHeight="1" thickTop="1" thickBot="1" x14ac:dyDescent="0.25">
      <c r="A33" s="38" t="s">
        <v>352</v>
      </c>
      <c r="B33" s="39" t="s">
        <v>353</v>
      </c>
      <c r="C33" s="40" t="s">
        <v>129</v>
      </c>
      <c r="D33" s="40">
        <v>20</v>
      </c>
      <c r="E33" s="41">
        <v>3138.7</v>
      </c>
      <c r="F33" s="41">
        <v>3468.5</v>
      </c>
      <c r="G33" s="42">
        <v>3833</v>
      </c>
      <c r="H33" s="37" t="s">
        <v>53</v>
      </c>
    </row>
    <row r="34" spans="1:8" ht="14.1" customHeight="1" thickTop="1" thickBot="1" x14ac:dyDescent="0.25">
      <c r="A34" s="38" t="s">
        <v>354</v>
      </c>
      <c r="B34" s="39" t="s">
        <v>355</v>
      </c>
      <c r="C34" s="40" t="s">
        <v>129</v>
      </c>
      <c r="D34" s="40">
        <v>16</v>
      </c>
      <c r="E34" s="41">
        <v>3138.7</v>
      </c>
      <c r="F34" s="41">
        <v>3468.5</v>
      </c>
      <c r="G34" s="42">
        <v>3833</v>
      </c>
      <c r="H34" s="37" t="s">
        <v>53</v>
      </c>
    </row>
    <row r="35" spans="1:8" ht="14.1" customHeight="1" thickTop="1" thickBot="1" x14ac:dyDescent="0.25">
      <c r="A35" s="38" t="s">
        <v>356</v>
      </c>
      <c r="B35" s="39" t="s">
        <v>357</v>
      </c>
      <c r="C35" s="40" t="s">
        <v>129</v>
      </c>
      <c r="D35" s="40">
        <v>20</v>
      </c>
      <c r="E35" s="41">
        <v>3138.7</v>
      </c>
      <c r="F35" s="41">
        <v>3468.5</v>
      </c>
      <c r="G35" s="42">
        <v>3833</v>
      </c>
      <c r="H35" s="37" t="s">
        <v>53</v>
      </c>
    </row>
    <row r="36" spans="1:8" ht="14.1" customHeight="1" thickTop="1" thickBot="1" x14ac:dyDescent="0.25">
      <c r="A36" s="38" t="s">
        <v>358</v>
      </c>
      <c r="B36" s="39" t="s">
        <v>359</v>
      </c>
      <c r="C36" s="40" t="s">
        <v>129</v>
      </c>
      <c r="D36" s="40">
        <v>16</v>
      </c>
      <c r="E36" s="41">
        <v>3138.7</v>
      </c>
      <c r="F36" s="41">
        <v>3468.5</v>
      </c>
      <c r="G36" s="42">
        <v>3833</v>
      </c>
      <c r="H36" s="37" t="s">
        <v>53</v>
      </c>
    </row>
    <row r="37" spans="1:8" ht="14.1" customHeight="1" thickTop="1" thickBot="1" x14ac:dyDescent="0.25">
      <c r="A37" s="38" t="s">
        <v>360</v>
      </c>
      <c r="B37" s="39" t="s">
        <v>361</v>
      </c>
      <c r="C37" s="40" t="s">
        <v>129</v>
      </c>
      <c r="D37" s="40">
        <v>16</v>
      </c>
      <c r="E37" s="41">
        <v>3138.7</v>
      </c>
      <c r="F37" s="41">
        <v>3468.5</v>
      </c>
      <c r="G37" s="42">
        <v>3833</v>
      </c>
      <c r="H37" s="37" t="s">
        <v>53</v>
      </c>
    </row>
    <row r="38" spans="1:8" ht="14.1" customHeight="1" thickTop="1" thickBot="1" x14ac:dyDescent="0.25">
      <c r="A38" s="38" t="s">
        <v>362</v>
      </c>
      <c r="B38" s="39" t="s">
        <v>363</v>
      </c>
      <c r="C38" s="40" t="s">
        <v>129</v>
      </c>
      <c r="D38" s="40">
        <v>20</v>
      </c>
      <c r="E38" s="41">
        <v>1176.9000000000001</v>
      </c>
      <c r="F38" s="41">
        <v>1300.3</v>
      </c>
      <c r="G38" s="42">
        <v>1436.6</v>
      </c>
      <c r="H38" s="37" t="s">
        <v>53</v>
      </c>
    </row>
    <row r="39" spans="1:8" ht="14.1" customHeight="1" thickTop="1" thickBot="1" x14ac:dyDescent="0.25">
      <c r="A39" s="38" t="s">
        <v>364</v>
      </c>
      <c r="B39" s="39" t="s">
        <v>365</v>
      </c>
      <c r="C39" s="40" t="s">
        <v>129</v>
      </c>
      <c r="D39" s="40">
        <v>20</v>
      </c>
      <c r="E39" s="41">
        <v>1176.9000000000001</v>
      </c>
      <c r="F39" s="41">
        <v>1300.3</v>
      </c>
      <c r="G39" s="42">
        <v>1436.6</v>
      </c>
      <c r="H39" s="37" t="s">
        <v>53</v>
      </c>
    </row>
    <row r="40" spans="1:8" ht="14.1" customHeight="1" thickTop="1" thickBot="1" x14ac:dyDescent="0.25">
      <c r="A40" s="38" t="s">
        <v>366</v>
      </c>
      <c r="B40" s="39" t="s">
        <v>367</v>
      </c>
      <c r="C40" s="40" t="s">
        <v>129</v>
      </c>
      <c r="D40" s="40">
        <v>20</v>
      </c>
      <c r="E40" s="41">
        <v>1176.9000000000001</v>
      </c>
      <c r="F40" s="41">
        <v>1300.3</v>
      </c>
      <c r="G40" s="42">
        <v>1436.6</v>
      </c>
      <c r="H40" s="37" t="s">
        <v>53</v>
      </c>
    </row>
    <row r="41" spans="1:8" ht="14.1" customHeight="1" thickTop="1" thickBot="1" x14ac:dyDescent="0.25">
      <c r="A41" s="38" t="s">
        <v>368</v>
      </c>
      <c r="B41" s="39" t="s">
        <v>369</v>
      </c>
      <c r="C41" s="40" t="s">
        <v>129</v>
      </c>
      <c r="D41" s="40">
        <v>20</v>
      </c>
      <c r="E41" s="41">
        <v>1176.9000000000001</v>
      </c>
      <c r="F41" s="41">
        <v>1300.3</v>
      </c>
      <c r="G41" s="42">
        <v>1436.6</v>
      </c>
      <c r="H41" s="37" t="s">
        <v>50</v>
      </c>
    </row>
    <row r="42" spans="1:8" ht="14.1" customHeight="1" thickTop="1" thickBot="1" x14ac:dyDescent="0.25">
      <c r="A42" s="38" t="s">
        <v>370</v>
      </c>
      <c r="B42" s="39" t="s">
        <v>371</v>
      </c>
      <c r="C42" s="40" t="s">
        <v>129</v>
      </c>
      <c r="D42" s="40">
        <v>20</v>
      </c>
      <c r="E42" s="41">
        <v>1176.9000000000001</v>
      </c>
      <c r="F42" s="41">
        <v>1300.3</v>
      </c>
      <c r="G42" s="42">
        <v>1436.6</v>
      </c>
      <c r="H42" s="37" t="s">
        <v>50</v>
      </c>
    </row>
    <row r="43" spans="1:8" ht="14.1" customHeight="1" thickTop="1" thickBot="1" x14ac:dyDescent="0.25">
      <c r="A43" s="38" t="s">
        <v>372</v>
      </c>
      <c r="B43" s="39" t="s">
        <v>373</v>
      </c>
      <c r="C43" s="40" t="s">
        <v>129</v>
      </c>
      <c r="D43" s="40">
        <v>20</v>
      </c>
      <c r="E43" s="41">
        <v>1176.9000000000001</v>
      </c>
      <c r="F43" s="41">
        <v>1300.3</v>
      </c>
      <c r="G43" s="42">
        <v>1436.6</v>
      </c>
      <c r="H43" s="37" t="s">
        <v>50</v>
      </c>
    </row>
    <row r="44" spans="1:8" ht="14.1" customHeight="1" thickTop="1" thickBot="1" x14ac:dyDescent="0.25">
      <c r="A44" s="38" t="s">
        <v>374</v>
      </c>
      <c r="B44" s="39" t="s">
        <v>375</v>
      </c>
      <c r="C44" s="40" t="s">
        <v>129</v>
      </c>
      <c r="D44" s="40">
        <v>20</v>
      </c>
      <c r="E44" s="41">
        <v>1176.9000000000001</v>
      </c>
      <c r="F44" s="41">
        <v>1300.3</v>
      </c>
      <c r="G44" s="42">
        <v>1436.6</v>
      </c>
      <c r="H44" s="37" t="s">
        <v>53</v>
      </c>
    </row>
    <row r="45" spans="1:8" ht="14.1" customHeight="1" thickTop="1" thickBot="1" x14ac:dyDescent="0.25">
      <c r="A45" s="38" t="s">
        <v>376</v>
      </c>
      <c r="B45" s="39" t="s">
        <v>377</v>
      </c>
      <c r="C45" s="40" t="s">
        <v>129</v>
      </c>
      <c r="D45" s="40">
        <v>20</v>
      </c>
      <c r="E45" s="41">
        <v>1176.9000000000001</v>
      </c>
      <c r="F45" s="41">
        <v>1300.3</v>
      </c>
      <c r="G45" s="42">
        <v>1436.6</v>
      </c>
      <c r="H45" s="37" t="s">
        <v>53</v>
      </c>
    </row>
    <row r="46" spans="1:8" ht="14.1" customHeight="1" thickTop="1" thickBot="1" x14ac:dyDescent="0.25">
      <c r="A46" s="38" t="s">
        <v>378</v>
      </c>
      <c r="B46" s="39" t="s">
        <v>379</v>
      </c>
      <c r="C46" s="40" t="s">
        <v>129</v>
      </c>
      <c r="D46" s="40">
        <v>10</v>
      </c>
      <c r="E46" s="41">
        <v>1176.9000000000001</v>
      </c>
      <c r="F46" s="41">
        <v>1300.3</v>
      </c>
      <c r="G46" s="42">
        <v>1436.6</v>
      </c>
      <c r="H46" s="37" t="s">
        <v>53</v>
      </c>
    </row>
    <row r="47" spans="1:8" ht="14.1" customHeight="1" thickTop="1" thickBot="1" x14ac:dyDescent="0.25">
      <c r="A47" s="38" t="s">
        <v>380</v>
      </c>
      <c r="B47" s="39" t="s">
        <v>381</v>
      </c>
      <c r="C47" s="40" t="s">
        <v>129</v>
      </c>
      <c r="D47" s="40">
        <v>20</v>
      </c>
      <c r="E47" s="41">
        <v>1176.9000000000001</v>
      </c>
      <c r="F47" s="41">
        <v>1300.3</v>
      </c>
      <c r="G47" s="42">
        <v>1436.6</v>
      </c>
      <c r="H47" s="37" t="s">
        <v>53</v>
      </c>
    </row>
    <row r="48" spans="1:8" ht="14.1" customHeight="1" thickTop="1" thickBot="1" x14ac:dyDescent="0.25">
      <c r="A48" s="38" t="s">
        <v>382</v>
      </c>
      <c r="B48" s="39" t="s">
        <v>383</v>
      </c>
      <c r="C48" s="40" t="s">
        <v>129</v>
      </c>
      <c r="D48" s="40">
        <v>16</v>
      </c>
      <c r="E48" s="41">
        <v>4413.3</v>
      </c>
      <c r="F48" s="41">
        <v>4875.8999999999996</v>
      </c>
      <c r="G48" s="42">
        <v>5387</v>
      </c>
      <c r="H48" s="37" t="s">
        <v>53</v>
      </c>
    </row>
    <row r="49" spans="1:8" ht="14.1" customHeight="1" thickTop="1" thickBot="1" x14ac:dyDescent="0.25">
      <c r="A49" s="38" t="s">
        <v>384</v>
      </c>
      <c r="B49" s="39" t="s">
        <v>385</v>
      </c>
      <c r="C49" s="40" t="s">
        <v>129</v>
      </c>
      <c r="D49" s="40">
        <v>10</v>
      </c>
      <c r="E49" s="41">
        <v>4413.3</v>
      </c>
      <c r="F49" s="41">
        <v>4875.8999999999996</v>
      </c>
      <c r="G49" s="42">
        <v>5387</v>
      </c>
      <c r="H49" s="37" t="s">
        <v>53</v>
      </c>
    </row>
    <row r="50" spans="1:8" ht="14.1" customHeight="1" thickTop="1" thickBot="1" x14ac:dyDescent="0.25">
      <c r="A50" s="38" t="s">
        <v>386</v>
      </c>
      <c r="B50" s="39" t="s">
        <v>387</v>
      </c>
      <c r="C50" s="40" t="s">
        <v>129</v>
      </c>
      <c r="D50" s="40">
        <v>10</v>
      </c>
      <c r="E50" s="41">
        <v>4413.3</v>
      </c>
      <c r="F50" s="41">
        <v>4875.8999999999996</v>
      </c>
      <c r="G50" s="42">
        <v>5387</v>
      </c>
      <c r="H50" s="37" t="s">
        <v>53</v>
      </c>
    </row>
    <row r="51" spans="1:8" ht="14.1" customHeight="1" thickTop="1" thickBot="1" x14ac:dyDescent="0.25">
      <c r="A51" s="38" t="s">
        <v>388</v>
      </c>
      <c r="B51" s="39" t="s">
        <v>389</v>
      </c>
      <c r="C51" s="40" t="s">
        <v>129</v>
      </c>
      <c r="D51" s="40">
        <v>10</v>
      </c>
      <c r="E51" s="41">
        <v>4413.3</v>
      </c>
      <c r="F51" s="41">
        <v>4875.8999999999996</v>
      </c>
      <c r="G51" s="42">
        <v>5387</v>
      </c>
      <c r="H51" s="37" t="s">
        <v>53</v>
      </c>
    </row>
    <row r="52" spans="1:8" ht="14.1" customHeight="1" thickTop="1" thickBot="1" x14ac:dyDescent="0.25">
      <c r="A52" s="38" t="s">
        <v>390</v>
      </c>
      <c r="B52" s="39" t="s">
        <v>391</v>
      </c>
      <c r="C52" s="40" t="s">
        <v>129</v>
      </c>
      <c r="D52" s="40">
        <v>10</v>
      </c>
      <c r="E52" s="41">
        <v>4413.3</v>
      </c>
      <c r="F52" s="41">
        <v>4875.8999999999996</v>
      </c>
      <c r="G52" s="42">
        <v>5387</v>
      </c>
      <c r="H52" s="37" t="s">
        <v>53</v>
      </c>
    </row>
    <row r="53" spans="1:8" ht="14.1" customHeight="1" thickTop="1" thickBot="1" x14ac:dyDescent="0.25">
      <c r="A53" s="38" t="s">
        <v>392</v>
      </c>
      <c r="B53" s="39" t="s">
        <v>393</v>
      </c>
      <c r="C53" s="40" t="s">
        <v>129</v>
      </c>
      <c r="D53" s="40">
        <v>10</v>
      </c>
      <c r="E53" s="41">
        <v>4413.3</v>
      </c>
      <c r="F53" s="41">
        <v>4875.8999999999996</v>
      </c>
      <c r="G53" s="42">
        <v>5387</v>
      </c>
      <c r="H53" s="37" t="s">
        <v>53</v>
      </c>
    </row>
    <row r="54" spans="1:8" ht="14.1" customHeight="1" thickTop="1" thickBot="1" x14ac:dyDescent="0.25">
      <c r="A54" s="38" t="s">
        <v>394</v>
      </c>
      <c r="B54" s="39" t="s">
        <v>395</v>
      </c>
      <c r="C54" s="40" t="s">
        <v>129</v>
      </c>
      <c r="D54" s="40">
        <v>10</v>
      </c>
      <c r="E54" s="41">
        <v>1594.3</v>
      </c>
      <c r="F54" s="41">
        <v>1761.3</v>
      </c>
      <c r="G54" s="42">
        <v>1945.8</v>
      </c>
      <c r="H54" s="37" t="s">
        <v>53</v>
      </c>
    </row>
    <row r="55" spans="1:8" ht="14.1" customHeight="1" thickTop="1" thickBot="1" x14ac:dyDescent="0.25">
      <c r="A55" s="38" t="s">
        <v>396</v>
      </c>
      <c r="B55" s="39" t="s">
        <v>397</v>
      </c>
      <c r="C55" s="40" t="s">
        <v>129</v>
      </c>
      <c r="D55" s="40">
        <v>10</v>
      </c>
      <c r="E55" s="41">
        <v>1594.3</v>
      </c>
      <c r="F55" s="41">
        <v>1761.3</v>
      </c>
      <c r="G55" s="42">
        <v>1945.8</v>
      </c>
      <c r="H55" s="37" t="s">
        <v>53</v>
      </c>
    </row>
    <row r="56" spans="1:8" ht="14.1" customHeight="1" thickTop="1" thickBot="1" x14ac:dyDescent="0.25">
      <c r="A56" s="38" t="s">
        <v>398</v>
      </c>
      <c r="B56" s="39" t="s">
        <v>399</v>
      </c>
      <c r="C56" s="40" t="s">
        <v>129</v>
      </c>
      <c r="D56" s="40">
        <v>10</v>
      </c>
      <c r="E56" s="41">
        <v>1594.3</v>
      </c>
      <c r="F56" s="41">
        <v>1761.3</v>
      </c>
      <c r="G56" s="42">
        <v>1945.8</v>
      </c>
      <c r="H56" s="37" t="s">
        <v>50</v>
      </c>
    </row>
    <row r="57" spans="1:8" ht="14.1" customHeight="1" thickTop="1" thickBot="1" x14ac:dyDescent="0.25">
      <c r="A57" s="38" t="s">
        <v>400</v>
      </c>
      <c r="B57" s="39" t="s">
        <v>401</v>
      </c>
      <c r="C57" s="40" t="s">
        <v>129</v>
      </c>
      <c r="D57" s="40">
        <v>10</v>
      </c>
      <c r="E57" s="41">
        <v>1594.3</v>
      </c>
      <c r="F57" s="41">
        <v>1761.3</v>
      </c>
      <c r="G57" s="42">
        <v>1945.8</v>
      </c>
      <c r="H57" s="37" t="s">
        <v>53</v>
      </c>
    </row>
    <row r="58" spans="1:8" ht="14.1" customHeight="1" thickTop="1" thickBot="1" x14ac:dyDescent="0.25">
      <c r="A58" s="38" t="s">
        <v>402</v>
      </c>
      <c r="B58" s="39" t="s">
        <v>403</v>
      </c>
      <c r="C58" s="40" t="s">
        <v>129</v>
      </c>
      <c r="D58" s="40">
        <v>10</v>
      </c>
      <c r="E58" s="41">
        <v>1594.3</v>
      </c>
      <c r="F58" s="41">
        <v>1761.3</v>
      </c>
      <c r="G58" s="42">
        <v>1945.8</v>
      </c>
      <c r="H58" s="37" t="s">
        <v>53</v>
      </c>
    </row>
    <row r="59" spans="1:8" ht="14.1" customHeight="1" thickTop="1" thickBot="1" x14ac:dyDescent="0.25">
      <c r="A59" s="38" t="s">
        <v>404</v>
      </c>
      <c r="B59" s="39" t="s">
        <v>405</v>
      </c>
      <c r="C59" s="40" t="s">
        <v>129</v>
      </c>
      <c r="D59" s="40">
        <v>10</v>
      </c>
      <c r="E59" s="41">
        <v>1594.3</v>
      </c>
      <c r="F59" s="41">
        <v>1761.3</v>
      </c>
      <c r="G59" s="42">
        <v>1945.8</v>
      </c>
      <c r="H59" s="37" t="s">
        <v>53</v>
      </c>
    </row>
    <row r="60" spans="1:8" ht="14.1" customHeight="1" thickTop="1" thickBot="1" x14ac:dyDescent="0.25">
      <c r="A60" s="38" t="s">
        <v>406</v>
      </c>
      <c r="B60" s="39" t="s">
        <v>407</v>
      </c>
      <c r="C60" s="40" t="s">
        <v>129</v>
      </c>
      <c r="D60" s="40">
        <v>8</v>
      </c>
      <c r="E60" s="41">
        <v>5516</v>
      </c>
      <c r="F60" s="41">
        <v>6094.3</v>
      </c>
      <c r="G60" s="42">
        <v>6733.2</v>
      </c>
      <c r="H60" s="37" t="s">
        <v>53</v>
      </c>
    </row>
    <row r="61" spans="1:8" ht="14.1" customHeight="1" thickTop="1" thickBot="1" x14ac:dyDescent="0.25">
      <c r="A61" s="38" t="s">
        <v>408</v>
      </c>
      <c r="B61" s="39" t="s">
        <v>409</v>
      </c>
      <c r="C61" s="40" t="s">
        <v>129</v>
      </c>
      <c r="D61" s="40">
        <v>10</v>
      </c>
      <c r="E61" s="41">
        <v>1823.1</v>
      </c>
      <c r="F61" s="41">
        <v>2014</v>
      </c>
      <c r="G61" s="42">
        <v>2224.9</v>
      </c>
      <c r="H61" s="37" t="s">
        <v>53</v>
      </c>
    </row>
    <row r="62" spans="1:8" ht="14.1" customHeight="1" thickTop="1" thickBot="1" x14ac:dyDescent="0.25">
      <c r="A62" s="38" t="s">
        <v>410</v>
      </c>
      <c r="B62" s="39" t="s">
        <v>411</v>
      </c>
      <c r="C62" s="40" t="s">
        <v>129</v>
      </c>
      <c r="D62" s="40">
        <v>10</v>
      </c>
      <c r="E62" s="41">
        <v>1823.1</v>
      </c>
      <c r="F62" s="41">
        <v>2014</v>
      </c>
      <c r="G62" s="42">
        <v>2224.9</v>
      </c>
      <c r="H62" s="37" t="s">
        <v>53</v>
      </c>
    </row>
    <row r="63" spans="1:8" ht="14.1" customHeight="1" thickTop="1" thickBot="1" x14ac:dyDescent="0.25">
      <c r="A63" s="38" t="s">
        <v>412</v>
      </c>
      <c r="B63" s="39" t="s">
        <v>413</v>
      </c>
      <c r="C63" s="40" t="s">
        <v>129</v>
      </c>
      <c r="D63" s="40">
        <v>10</v>
      </c>
      <c r="E63" s="41">
        <v>1823.1</v>
      </c>
      <c r="F63" s="41">
        <v>2014</v>
      </c>
      <c r="G63" s="42">
        <v>2224.9</v>
      </c>
      <c r="H63" s="37" t="s">
        <v>53</v>
      </c>
    </row>
    <row r="64" spans="1:8" ht="14.1" customHeight="1" thickTop="1" thickBot="1" x14ac:dyDescent="0.25">
      <c r="A64" s="38" t="s">
        <v>414</v>
      </c>
      <c r="B64" s="39" t="s">
        <v>415</v>
      </c>
      <c r="C64" s="40" t="s">
        <v>129</v>
      </c>
      <c r="D64" s="40">
        <v>10</v>
      </c>
      <c r="E64" s="41">
        <v>1823.1</v>
      </c>
      <c r="F64" s="41">
        <v>2014</v>
      </c>
      <c r="G64" s="42">
        <v>2224.9</v>
      </c>
      <c r="H64" s="37" t="s">
        <v>53</v>
      </c>
    </row>
    <row r="65" spans="1:8" ht="14.1" customHeight="1" thickTop="1" thickBot="1" x14ac:dyDescent="0.25">
      <c r="A65" s="38" t="s">
        <v>416</v>
      </c>
      <c r="B65" s="39" t="s">
        <v>417</v>
      </c>
      <c r="C65" s="40" t="s">
        <v>129</v>
      </c>
      <c r="D65" s="40">
        <v>10</v>
      </c>
      <c r="E65" s="41">
        <v>1823.1</v>
      </c>
      <c r="F65" s="41">
        <v>2014</v>
      </c>
      <c r="G65" s="42">
        <v>2224.9</v>
      </c>
      <c r="H65" s="37" t="s">
        <v>53</v>
      </c>
    </row>
    <row r="66" spans="1:8" ht="14.1" customHeight="1" thickTop="1" thickBot="1" x14ac:dyDescent="0.25">
      <c r="A66" s="38" t="s">
        <v>418</v>
      </c>
      <c r="B66" s="39" t="s">
        <v>419</v>
      </c>
      <c r="C66" s="40" t="s">
        <v>129</v>
      </c>
      <c r="D66" s="40">
        <v>10</v>
      </c>
      <c r="E66" s="41">
        <v>1823.1</v>
      </c>
      <c r="F66" s="41">
        <v>2014</v>
      </c>
      <c r="G66" s="42">
        <v>2224.9</v>
      </c>
      <c r="H66" s="37" t="s">
        <v>53</v>
      </c>
    </row>
    <row r="67" spans="1:8" ht="14.1" customHeight="1" thickTop="1" thickBot="1" x14ac:dyDescent="0.25">
      <c r="A67" s="38" t="s">
        <v>420</v>
      </c>
      <c r="B67" s="39" t="s">
        <v>421</v>
      </c>
      <c r="C67" s="40" t="s">
        <v>129</v>
      </c>
      <c r="D67" s="40">
        <v>1</v>
      </c>
      <c r="E67" s="41">
        <v>6618.8</v>
      </c>
      <c r="F67" s="41">
        <v>7313.8</v>
      </c>
      <c r="G67" s="42">
        <v>8081.8</v>
      </c>
      <c r="H67" s="37" t="s">
        <v>53</v>
      </c>
    </row>
    <row r="68" spans="1:8" ht="14.1" customHeight="1" thickTop="1" thickBot="1" x14ac:dyDescent="0.25">
      <c r="A68" s="38" t="s">
        <v>422</v>
      </c>
      <c r="B68" s="39" t="s">
        <v>423</v>
      </c>
      <c r="C68" s="40" t="s">
        <v>129</v>
      </c>
      <c r="D68" s="40">
        <v>10</v>
      </c>
      <c r="E68" s="41">
        <v>6618.8</v>
      </c>
      <c r="F68" s="41">
        <v>7313.8</v>
      </c>
      <c r="G68" s="42">
        <v>8081.8</v>
      </c>
      <c r="H68" s="37" t="s">
        <v>53</v>
      </c>
    </row>
    <row r="69" spans="1:8" ht="14.1" customHeight="1" thickTop="1" thickBot="1" x14ac:dyDescent="0.25">
      <c r="A69" s="38" t="s">
        <v>424</v>
      </c>
      <c r="B69" s="39" t="s">
        <v>425</v>
      </c>
      <c r="C69" s="40" t="s">
        <v>129</v>
      </c>
      <c r="D69" s="40">
        <v>10</v>
      </c>
      <c r="E69" s="41">
        <v>6618.8</v>
      </c>
      <c r="F69" s="41">
        <v>7313.8</v>
      </c>
      <c r="G69" s="42">
        <v>8081.8</v>
      </c>
      <c r="H69" s="37" t="s">
        <v>53</v>
      </c>
    </row>
    <row r="70" spans="1:8" ht="14.1" customHeight="1" thickTop="1" thickBot="1" x14ac:dyDescent="0.25">
      <c r="A70" s="38" t="s">
        <v>426</v>
      </c>
      <c r="B70" s="39" t="s">
        <v>427</v>
      </c>
      <c r="C70" s="40" t="s">
        <v>129</v>
      </c>
      <c r="D70" s="40">
        <v>10</v>
      </c>
      <c r="E70" s="41">
        <v>6618.8</v>
      </c>
      <c r="F70" s="41">
        <v>7313.8</v>
      </c>
      <c r="G70" s="42">
        <v>8081.8</v>
      </c>
      <c r="H70" s="37" t="s">
        <v>53</v>
      </c>
    </row>
    <row r="71" spans="1:8" ht="14.1" customHeight="1" thickTop="1" thickBot="1" x14ac:dyDescent="0.25">
      <c r="A71" s="38" t="s">
        <v>428</v>
      </c>
      <c r="B71" s="39" t="s">
        <v>429</v>
      </c>
      <c r="C71" s="40" t="s">
        <v>129</v>
      </c>
      <c r="D71" s="40">
        <v>8</v>
      </c>
      <c r="E71" s="41">
        <v>2099</v>
      </c>
      <c r="F71" s="41">
        <v>2319.5</v>
      </c>
      <c r="G71" s="42">
        <v>2563.1999999999998</v>
      </c>
      <c r="H71" s="37" t="s">
        <v>53</v>
      </c>
    </row>
    <row r="72" spans="1:8" ht="14.1" customHeight="1" thickTop="1" thickBot="1" x14ac:dyDescent="0.25">
      <c r="A72" s="38" t="s">
        <v>430</v>
      </c>
      <c r="B72" s="39" t="s">
        <v>431</v>
      </c>
      <c r="C72" s="40" t="s">
        <v>129</v>
      </c>
      <c r="D72" s="40">
        <v>10</v>
      </c>
      <c r="E72" s="41">
        <v>2099</v>
      </c>
      <c r="F72" s="41">
        <v>2319.5</v>
      </c>
      <c r="G72" s="42">
        <v>2563.1999999999998</v>
      </c>
      <c r="H72" s="37" t="s">
        <v>53</v>
      </c>
    </row>
    <row r="73" spans="1:8" ht="14.1" customHeight="1" thickTop="1" thickBot="1" x14ac:dyDescent="0.25">
      <c r="A73" s="38" t="s">
        <v>432</v>
      </c>
      <c r="B73" s="39" t="s">
        <v>433</v>
      </c>
      <c r="C73" s="40" t="s">
        <v>129</v>
      </c>
      <c r="D73" s="40">
        <v>5</v>
      </c>
      <c r="E73" s="41">
        <v>2099</v>
      </c>
      <c r="F73" s="41">
        <v>2319.5</v>
      </c>
      <c r="G73" s="42">
        <v>2563.1999999999998</v>
      </c>
      <c r="H73" s="37" t="s">
        <v>53</v>
      </c>
    </row>
    <row r="74" spans="1:8" ht="14.1" customHeight="1" thickTop="1" thickBot="1" x14ac:dyDescent="0.25">
      <c r="A74" s="38" t="s">
        <v>434</v>
      </c>
      <c r="B74" s="39" t="s">
        <v>435</v>
      </c>
      <c r="C74" s="40" t="s">
        <v>129</v>
      </c>
      <c r="D74" s="40">
        <v>8</v>
      </c>
      <c r="E74" s="41">
        <v>2099</v>
      </c>
      <c r="F74" s="41">
        <v>2319.5</v>
      </c>
      <c r="G74" s="42">
        <v>2563.1999999999998</v>
      </c>
      <c r="H74" s="37" t="s">
        <v>53</v>
      </c>
    </row>
    <row r="75" spans="1:8" ht="14.1" customHeight="1" thickTop="1" thickBot="1" x14ac:dyDescent="0.25">
      <c r="A75" s="38" t="s">
        <v>436</v>
      </c>
      <c r="B75" s="39" t="s">
        <v>437</v>
      </c>
      <c r="C75" s="40" t="s">
        <v>129</v>
      </c>
      <c r="D75" s="40">
        <v>8</v>
      </c>
      <c r="E75" s="41">
        <v>2099</v>
      </c>
      <c r="F75" s="41">
        <v>2319.5</v>
      </c>
      <c r="G75" s="42">
        <v>2563.1999999999998</v>
      </c>
      <c r="H75" s="37" t="s">
        <v>53</v>
      </c>
    </row>
    <row r="76" spans="1:8" ht="14.1" customHeight="1" thickTop="1" thickBot="1" x14ac:dyDescent="0.25">
      <c r="A76" s="38" t="s">
        <v>438</v>
      </c>
      <c r="B76" s="39" t="s">
        <v>439</v>
      </c>
      <c r="C76" s="40" t="s">
        <v>129</v>
      </c>
      <c r="D76" s="40">
        <v>8</v>
      </c>
      <c r="E76" s="41">
        <v>2099</v>
      </c>
      <c r="F76" s="41">
        <v>2319.5</v>
      </c>
      <c r="G76" s="42">
        <v>2563.1999999999998</v>
      </c>
      <c r="H76" s="37" t="s">
        <v>53</v>
      </c>
    </row>
    <row r="77" spans="1:8" ht="14.1" customHeight="1" thickTop="1" thickBot="1" x14ac:dyDescent="0.25">
      <c r="A77" s="38" t="s">
        <v>440</v>
      </c>
      <c r="B77" s="39" t="s">
        <v>441</v>
      </c>
      <c r="C77" s="40" t="s">
        <v>129</v>
      </c>
      <c r="D77" s="40">
        <v>8</v>
      </c>
      <c r="E77" s="41">
        <v>2099</v>
      </c>
      <c r="F77" s="41">
        <v>2319.5</v>
      </c>
      <c r="G77" s="42">
        <v>2563.1999999999998</v>
      </c>
      <c r="H77" s="37" t="s">
        <v>53</v>
      </c>
    </row>
    <row r="78" spans="1:8" ht="14.1" customHeight="1" thickTop="1" thickBot="1" x14ac:dyDescent="0.25">
      <c r="A78" s="38" t="s">
        <v>442</v>
      </c>
      <c r="B78" s="39" t="s">
        <v>443</v>
      </c>
      <c r="C78" s="40" t="s">
        <v>129</v>
      </c>
      <c r="D78" s="40">
        <v>5</v>
      </c>
      <c r="E78" s="41">
        <v>2099</v>
      </c>
      <c r="F78" s="41">
        <v>2319.5</v>
      </c>
      <c r="G78" s="42">
        <v>2563.1999999999998</v>
      </c>
      <c r="H78" s="37" t="s">
        <v>53</v>
      </c>
    </row>
    <row r="79" spans="1:8" ht="14.1" customHeight="1" thickTop="1" thickBot="1" x14ac:dyDescent="0.25">
      <c r="A79" s="38" t="s">
        <v>444</v>
      </c>
      <c r="B79" s="39" t="s">
        <v>445</v>
      </c>
      <c r="C79" s="40" t="s">
        <v>129</v>
      </c>
      <c r="D79" s="40">
        <v>8</v>
      </c>
      <c r="E79" s="41">
        <v>2099</v>
      </c>
      <c r="F79" s="41">
        <v>2319.5</v>
      </c>
      <c r="G79" s="42">
        <v>2563.1999999999998</v>
      </c>
      <c r="H79" s="37" t="s">
        <v>53</v>
      </c>
    </row>
    <row r="80" spans="1:8" ht="14.1" customHeight="1" thickTop="1" thickBot="1" x14ac:dyDescent="0.25">
      <c r="A80" s="38" t="s">
        <v>446</v>
      </c>
      <c r="B80" s="39" t="s">
        <v>447</v>
      </c>
      <c r="C80" s="40" t="s">
        <v>129</v>
      </c>
      <c r="D80" s="40">
        <v>6</v>
      </c>
      <c r="E80" s="41">
        <v>8824.1</v>
      </c>
      <c r="F80" s="41">
        <v>9750.7000000000007</v>
      </c>
      <c r="G80" s="42">
        <v>10774.6</v>
      </c>
      <c r="H80" s="37" t="s">
        <v>53</v>
      </c>
    </row>
    <row r="81" spans="1:8" ht="14.1" customHeight="1" thickTop="1" thickBot="1" x14ac:dyDescent="0.25">
      <c r="A81" s="38" t="s">
        <v>448</v>
      </c>
      <c r="B81" s="39" t="s">
        <v>449</v>
      </c>
      <c r="C81" s="40" t="s">
        <v>129</v>
      </c>
      <c r="D81" s="40">
        <v>6</v>
      </c>
      <c r="E81" s="41">
        <v>8824.1</v>
      </c>
      <c r="F81" s="41">
        <v>9750.7000000000007</v>
      </c>
      <c r="G81" s="42">
        <v>10774.6</v>
      </c>
      <c r="H81" s="37" t="s">
        <v>53</v>
      </c>
    </row>
    <row r="82" spans="1:8" ht="14.1" customHeight="1" thickTop="1" thickBot="1" x14ac:dyDescent="0.25">
      <c r="A82" s="38" t="s">
        <v>450</v>
      </c>
      <c r="B82" s="39" t="s">
        <v>451</v>
      </c>
      <c r="C82" s="40" t="s">
        <v>129</v>
      </c>
      <c r="D82" s="40">
        <v>6</v>
      </c>
      <c r="E82" s="41">
        <v>8824.1</v>
      </c>
      <c r="F82" s="41">
        <v>9750.7000000000007</v>
      </c>
      <c r="G82" s="42">
        <v>10774.6</v>
      </c>
      <c r="H82" s="37" t="s">
        <v>53</v>
      </c>
    </row>
    <row r="83" spans="1:8" ht="14.1" customHeight="1" thickTop="1" thickBot="1" x14ac:dyDescent="0.25">
      <c r="A83" s="38" t="s">
        <v>452</v>
      </c>
      <c r="B83" s="39" t="s">
        <v>453</v>
      </c>
      <c r="C83" s="40" t="s">
        <v>129</v>
      </c>
      <c r="D83" s="40">
        <v>10</v>
      </c>
      <c r="E83" s="41">
        <v>8824.1</v>
      </c>
      <c r="F83" s="41">
        <v>9750.7000000000007</v>
      </c>
      <c r="G83" s="42">
        <v>10774.6</v>
      </c>
      <c r="H83" s="37" t="s">
        <v>53</v>
      </c>
    </row>
    <row r="84" spans="1:8" ht="14.1" customHeight="1" thickTop="1" thickBot="1" x14ac:dyDescent="0.25">
      <c r="A84" s="38" t="s">
        <v>454</v>
      </c>
      <c r="B84" s="39" t="s">
        <v>455</v>
      </c>
      <c r="C84" s="40" t="s">
        <v>129</v>
      </c>
      <c r="D84" s="40">
        <v>10</v>
      </c>
      <c r="E84" s="41">
        <v>3186.3</v>
      </c>
      <c r="F84" s="41">
        <v>3520.7</v>
      </c>
      <c r="G84" s="42">
        <v>3890.2</v>
      </c>
      <c r="H84" s="37" t="s">
        <v>50</v>
      </c>
    </row>
    <row r="85" spans="1:8" ht="14.1" customHeight="1" thickTop="1" thickBot="1" x14ac:dyDescent="0.25">
      <c r="A85" s="67" t="s">
        <v>456</v>
      </c>
      <c r="B85" s="68" t="s">
        <v>457</v>
      </c>
      <c r="C85" s="69" t="s">
        <v>129</v>
      </c>
      <c r="D85" s="69">
        <v>10</v>
      </c>
      <c r="E85" s="75">
        <v>3186.3</v>
      </c>
      <c r="F85" s="75">
        <v>3520.7</v>
      </c>
      <c r="G85" s="76">
        <v>3890.2</v>
      </c>
      <c r="H85" s="37" t="s">
        <v>53</v>
      </c>
    </row>
    <row r="86" spans="1:8" ht="14.1" customHeight="1" thickTop="1" thickBot="1" x14ac:dyDescent="0.25">
      <c r="A86" s="67" t="s">
        <v>458</v>
      </c>
      <c r="B86" s="68" t="s">
        <v>459</v>
      </c>
      <c r="C86" s="69" t="s">
        <v>129</v>
      </c>
      <c r="D86" s="69">
        <v>10</v>
      </c>
      <c r="E86" s="75">
        <v>3186.3</v>
      </c>
      <c r="F86" s="75">
        <v>3520.7</v>
      </c>
      <c r="G86" s="76">
        <v>3890.2</v>
      </c>
      <c r="H86" s="37" t="s">
        <v>53</v>
      </c>
    </row>
    <row r="87" spans="1:8" ht="14.1" customHeight="1" thickTop="1" thickBot="1" x14ac:dyDescent="0.25">
      <c r="A87" s="67" t="s">
        <v>460</v>
      </c>
      <c r="B87" s="68" t="s">
        <v>461</v>
      </c>
      <c r="C87" s="69" t="s">
        <v>129</v>
      </c>
      <c r="D87" s="69">
        <v>10</v>
      </c>
      <c r="E87" s="75">
        <v>3186.3</v>
      </c>
      <c r="F87" s="75">
        <v>3520.7</v>
      </c>
      <c r="G87" s="76">
        <v>3890.2</v>
      </c>
      <c r="H87" s="37" t="s">
        <v>53</v>
      </c>
    </row>
    <row r="88" spans="1:8" ht="14.1" customHeight="1" thickTop="1" thickBot="1" x14ac:dyDescent="0.25">
      <c r="A88" s="67" t="s">
        <v>462</v>
      </c>
      <c r="B88" s="68" t="s">
        <v>463</v>
      </c>
      <c r="C88" s="69" t="s">
        <v>129</v>
      </c>
      <c r="D88" s="69">
        <v>10</v>
      </c>
      <c r="E88" s="75">
        <v>3186.3</v>
      </c>
      <c r="F88" s="75">
        <v>3520.7</v>
      </c>
      <c r="G88" s="76">
        <v>3890.2</v>
      </c>
      <c r="H88" s="37" t="s">
        <v>53</v>
      </c>
    </row>
    <row r="89" spans="1:8" ht="14.1" customHeight="1" thickTop="1" thickBot="1" x14ac:dyDescent="0.25">
      <c r="A89" s="67" t="s">
        <v>464</v>
      </c>
      <c r="B89" s="68" t="s">
        <v>465</v>
      </c>
      <c r="C89" s="69" t="s">
        <v>129</v>
      </c>
      <c r="D89" s="69">
        <v>10</v>
      </c>
      <c r="E89" s="75">
        <v>3186.3</v>
      </c>
      <c r="F89" s="75">
        <v>3520.7</v>
      </c>
      <c r="G89" s="76">
        <v>3890.2</v>
      </c>
      <c r="H89" s="37" t="s">
        <v>53</v>
      </c>
    </row>
    <row r="90" spans="1:8" ht="14.1" customHeight="1" thickTop="1" thickBot="1" x14ac:dyDescent="0.25">
      <c r="A90" s="67" t="s">
        <v>466</v>
      </c>
      <c r="B90" s="68" t="s">
        <v>467</v>
      </c>
      <c r="C90" s="69" t="s">
        <v>129</v>
      </c>
      <c r="D90" s="69">
        <v>10</v>
      </c>
      <c r="E90" s="75">
        <v>3186.3</v>
      </c>
      <c r="F90" s="75">
        <v>3520.7</v>
      </c>
      <c r="G90" s="76">
        <v>3890.2</v>
      </c>
      <c r="H90" s="37" t="s">
        <v>53</v>
      </c>
    </row>
    <row r="91" spans="1:8" ht="14.1" customHeight="1" thickTop="1" thickBot="1" x14ac:dyDescent="0.25">
      <c r="A91" s="67" t="s">
        <v>468</v>
      </c>
      <c r="B91" s="68" t="s">
        <v>469</v>
      </c>
      <c r="C91" s="69" t="s">
        <v>129</v>
      </c>
      <c r="D91" s="69">
        <v>10</v>
      </c>
      <c r="E91" s="75">
        <v>3186.3</v>
      </c>
      <c r="F91" s="75">
        <v>3520.7</v>
      </c>
      <c r="G91" s="76">
        <v>3890.2</v>
      </c>
      <c r="H91" s="37" t="s">
        <v>53</v>
      </c>
    </row>
    <row r="92" spans="1:8" ht="14.1" customHeight="1" thickTop="1" thickBot="1" x14ac:dyDescent="0.25">
      <c r="A92" s="67" t="s">
        <v>470</v>
      </c>
      <c r="B92" s="68" t="s">
        <v>471</v>
      </c>
      <c r="C92" s="69" t="s">
        <v>129</v>
      </c>
      <c r="D92" s="69">
        <v>8</v>
      </c>
      <c r="E92" s="75">
        <v>3186.3</v>
      </c>
      <c r="F92" s="75">
        <v>3520.7</v>
      </c>
      <c r="G92" s="76">
        <v>3890.2</v>
      </c>
      <c r="H92" s="37" t="s">
        <v>50</v>
      </c>
    </row>
    <row r="93" spans="1:8" ht="14.1" customHeight="1" thickTop="1" thickBot="1" x14ac:dyDescent="0.25">
      <c r="A93" s="49" t="s">
        <v>472</v>
      </c>
      <c r="B93" s="50" t="s">
        <v>473</v>
      </c>
      <c r="C93" s="51" t="s">
        <v>129</v>
      </c>
      <c r="D93" s="51">
        <v>5</v>
      </c>
      <c r="E93" s="52">
        <v>3211.8</v>
      </c>
      <c r="F93" s="52">
        <v>3549.5</v>
      </c>
      <c r="G93" s="53">
        <v>3922.7</v>
      </c>
      <c r="H93" s="54" t="s">
        <v>53</v>
      </c>
    </row>
    <row r="94" spans="1:8" ht="14.1" customHeight="1" thickTop="1" thickBot="1" x14ac:dyDescent="0.25">
      <c r="A94" s="232" t="s">
        <v>474</v>
      </c>
      <c r="B94" s="233" t="s">
        <v>475</v>
      </c>
      <c r="C94" s="233" t="s">
        <v>129</v>
      </c>
      <c r="D94" s="233">
        <v>4</v>
      </c>
      <c r="E94" s="233">
        <v>3211.8</v>
      </c>
      <c r="F94" s="233">
        <v>3549.5</v>
      </c>
      <c r="G94" s="234">
        <v>3922.7</v>
      </c>
      <c r="H94" s="60" t="s">
        <v>53</v>
      </c>
    </row>
    <row r="95" spans="1:8" ht="14.1" customHeight="1" thickTop="1" x14ac:dyDescent="0.2">
      <c r="A95" s="55"/>
      <c r="B95" s="56"/>
      <c r="C95" s="57"/>
      <c r="D95" s="57"/>
      <c r="E95" s="58"/>
      <c r="F95" s="58"/>
      <c r="G95" s="58"/>
      <c r="H95" s="59"/>
    </row>
    <row r="96" spans="1:8" x14ac:dyDescent="0.2">
      <c r="A96" s="55"/>
      <c r="B96" s="56"/>
      <c r="C96" s="57"/>
      <c r="D96" s="57"/>
      <c r="E96" s="58"/>
      <c r="F96" s="58"/>
      <c r="G96" s="58"/>
      <c r="H96" s="59"/>
    </row>
    <row r="97" spans="1:8" x14ac:dyDescent="0.2">
      <c r="A97" s="55"/>
      <c r="B97" s="56"/>
      <c r="C97" s="57"/>
      <c r="D97" s="57"/>
      <c r="E97" s="58"/>
      <c r="F97" s="58"/>
      <c r="G97" s="58"/>
      <c r="H97" s="59"/>
    </row>
    <row r="98" spans="1:8" x14ac:dyDescent="0.2">
      <c r="A98" s="55"/>
      <c r="B98" s="56"/>
      <c r="C98" s="57"/>
      <c r="D98" s="57"/>
      <c r="E98" s="58"/>
      <c r="F98" s="58"/>
      <c r="G98" s="58"/>
      <c r="H98" s="59"/>
    </row>
    <row r="99" spans="1:8" x14ac:dyDescent="0.2">
      <c r="A99" s="55"/>
      <c r="B99" s="56"/>
      <c r="C99" s="57"/>
      <c r="D99" s="57"/>
      <c r="E99" s="58"/>
      <c r="F99" s="58"/>
      <c r="G99" s="58"/>
      <c r="H99" s="59"/>
    </row>
    <row r="100" spans="1:8" x14ac:dyDescent="0.2">
      <c r="A100" s="55"/>
      <c r="B100" s="56"/>
      <c r="C100" s="57"/>
      <c r="D100" s="57"/>
      <c r="E100" s="58"/>
      <c r="F100" s="58"/>
      <c r="G100" s="58"/>
      <c r="H100" s="59"/>
    </row>
    <row r="101" spans="1:8" x14ac:dyDescent="0.2">
      <c r="A101" s="55"/>
      <c r="B101" s="56"/>
      <c r="C101" s="57"/>
      <c r="D101" s="57"/>
      <c r="E101" s="58"/>
      <c r="F101" s="58"/>
      <c r="G101" s="58"/>
      <c r="H101" s="59"/>
    </row>
    <row r="102" spans="1:8" x14ac:dyDescent="0.2">
      <c r="A102" s="55"/>
      <c r="B102" s="56"/>
      <c r="C102" s="57"/>
      <c r="D102" s="57"/>
      <c r="E102" s="58"/>
      <c r="F102" s="58"/>
      <c r="G102" s="58"/>
      <c r="H102" s="59"/>
    </row>
    <row r="103" spans="1:8" x14ac:dyDescent="0.2">
      <c r="A103" s="55"/>
      <c r="B103" s="56"/>
      <c r="C103" s="57"/>
      <c r="D103" s="57"/>
      <c r="E103" s="58"/>
      <c r="F103" s="58"/>
      <c r="G103" s="58"/>
      <c r="H103" s="59"/>
    </row>
    <row r="104" spans="1:8" x14ac:dyDescent="0.2">
      <c r="A104" s="55"/>
      <c r="B104" s="56"/>
      <c r="C104" s="57"/>
      <c r="D104" s="57"/>
      <c r="E104" s="58"/>
      <c r="F104" s="58"/>
      <c r="G104" s="58"/>
      <c r="H104" s="59"/>
    </row>
    <row r="105" spans="1:8" x14ac:dyDescent="0.2">
      <c r="A105" s="55"/>
      <c r="B105" s="56"/>
      <c r="C105" s="57"/>
      <c r="D105" s="57"/>
      <c r="E105" s="58"/>
      <c r="F105" s="58"/>
      <c r="G105" s="58"/>
      <c r="H105" s="59"/>
    </row>
    <row r="106" spans="1:8" x14ac:dyDescent="0.2">
      <c r="A106" s="55"/>
      <c r="B106" s="56"/>
      <c r="C106" s="57"/>
      <c r="D106" s="57"/>
      <c r="E106" s="58"/>
      <c r="F106" s="58"/>
      <c r="G106" s="58"/>
      <c r="H106" s="59"/>
    </row>
    <row r="107" spans="1:8" x14ac:dyDescent="0.2">
      <c r="A107" s="55"/>
      <c r="B107" s="56"/>
      <c r="C107" s="57"/>
      <c r="D107" s="57"/>
      <c r="E107" s="58"/>
      <c r="F107" s="58"/>
      <c r="G107" s="58"/>
      <c r="H107" s="59"/>
    </row>
    <row r="108" spans="1:8" x14ac:dyDescent="0.2">
      <c r="A108" s="55"/>
      <c r="B108" s="56"/>
      <c r="C108" s="57"/>
      <c r="D108" s="57"/>
      <c r="E108" s="58"/>
      <c r="F108" s="58"/>
      <c r="G108" s="58"/>
      <c r="H108" s="59"/>
    </row>
    <row r="109" spans="1:8" x14ac:dyDescent="0.2">
      <c r="A109" s="55"/>
      <c r="B109" s="56"/>
      <c r="C109" s="57"/>
      <c r="D109" s="57"/>
      <c r="E109" s="58"/>
      <c r="F109" s="58"/>
      <c r="G109" s="58"/>
      <c r="H109" s="59"/>
    </row>
    <row r="110" spans="1:8" x14ac:dyDescent="0.2">
      <c r="A110" s="55"/>
      <c r="B110" s="56"/>
      <c r="C110" s="57"/>
      <c r="D110" s="57"/>
      <c r="E110" s="58"/>
      <c r="F110" s="58"/>
      <c r="G110" s="58"/>
      <c r="H110" s="59"/>
    </row>
    <row r="111" spans="1:8" x14ac:dyDescent="0.2">
      <c r="A111" s="55"/>
      <c r="B111" s="56"/>
      <c r="C111" s="57"/>
      <c r="D111" s="57"/>
      <c r="E111" s="58"/>
      <c r="F111" s="58"/>
      <c r="G111" s="58"/>
      <c r="H111" s="59"/>
    </row>
    <row r="112" spans="1:8" x14ac:dyDescent="0.2">
      <c r="A112" s="55"/>
      <c r="B112" s="56"/>
      <c r="C112" s="57"/>
      <c r="D112" s="57"/>
      <c r="E112" s="58"/>
      <c r="F112" s="58"/>
      <c r="G112" s="58"/>
      <c r="H112" s="59"/>
    </row>
    <row r="113" spans="1:8" x14ac:dyDescent="0.2">
      <c r="A113" s="55"/>
      <c r="B113" s="56"/>
      <c r="C113" s="57"/>
      <c r="D113" s="57"/>
      <c r="E113" s="58"/>
      <c r="F113" s="58"/>
      <c r="G113" s="58"/>
      <c r="H113" s="59"/>
    </row>
    <row r="114" spans="1:8" x14ac:dyDescent="0.2">
      <c r="A114" s="55"/>
      <c r="B114" s="56"/>
      <c r="C114" s="57"/>
      <c r="D114" s="57"/>
      <c r="E114" s="58"/>
      <c r="F114" s="58"/>
      <c r="G114" s="58"/>
      <c r="H114" s="59"/>
    </row>
    <row r="115" spans="1:8" x14ac:dyDescent="0.2">
      <c r="A115" s="55"/>
      <c r="B115" s="56"/>
      <c r="C115" s="57"/>
      <c r="D115" s="57"/>
      <c r="E115" s="58"/>
      <c r="F115" s="58"/>
      <c r="G115" s="58"/>
      <c r="H115" s="59"/>
    </row>
    <row r="116" spans="1:8" x14ac:dyDescent="0.2">
      <c r="A116" s="55"/>
      <c r="B116" s="56"/>
      <c r="C116" s="57"/>
      <c r="D116" s="57"/>
      <c r="E116" s="58"/>
      <c r="F116" s="58"/>
      <c r="G116" s="58"/>
      <c r="H116" s="59"/>
    </row>
    <row r="117" spans="1:8" x14ac:dyDescent="0.2">
      <c r="A117" s="55"/>
      <c r="B117" s="56"/>
      <c r="C117" s="57"/>
      <c r="D117" s="57"/>
      <c r="E117" s="58"/>
      <c r="F117" s="58"/>
      <c r="G117" s="58"/>
      <c r="H117" s="59"/>
    </row>
    <row r="118" spans="1:8" x14ac:dyDescent="0.2">
      <c r="A118" s="55"/>
      <c r="B118" s="56"/>
      <c r="C118" s="57"/>
      <c r="D118" s="57"/>
      <c r="E118" s="58"/>
      <c r="F118" s="58"/>
      <c r="G118" s="58"/>
      <c r="H118" s="59"/>
    </row>
    <row r="119" spans="1:8" x14ac:dyDescent="0.2">
      <c r="A119" s="55"/>
      <c r="B119" s="56"/>
      <c r="C119" s="57"/>
      <c r="D119" s="57"/>
      <c r="E119" s="58"/>
      <c r="F119" s="58"/>
      <c r="G119" s="58"/>
      <c r="H119" s="59"/>
    </row>
    <row r="120" spans="1:8" x14ac:dyDescent="0.2">
      <c r="A120" s="55"/>
      <c r="B120" s="56"/>
      <c r="C120" s="57"/>
      <c r="D120" s="57"/>
      <c r="E120" s="58"/>
      <c r="F120" s="58"/>
      <c r="G120" s="58"/>
      <c r="H120" s="59"/>
    </row>
    <row r="121" spans="1:8" x14ac:dyDescent="0.2">
      <c r="A121" s="55"/>
      <c r="B121" s="56"/>
      <c r="C121" s="57"/>
      <c r="D121" s="57"/>
      <c r="E121" s="58"/>
      <c r="F121" s="58"/>
      <c r="G121" s="58"/>
      <c r="H121" s="59"/>
    </row>
    <row r="122" spans="1:8" x14ac:dyDescent="0.2">
      <c r="A122" s="55"/>
      <c r="B122" s="56"/>
      <c r="C122" s="57"/>
      <c r="D122" s="57"/>
      <c r="E122" s="58"/>
      <c r="F122" s="58"/>
      <c r="G122" s="58"/>
      <c r="H122" s="59"/>
    </row>
    <row r="123" spans="1:8" x14ac:dyDescent="0.2">
      <c r="A123" s="55"/>
      <c r="B123" s="56"/>
      <c r="C123" s="57"/>
      <c r="D123" s="57"/>
      <c r="E123" s="58"/>
      <c r="F123" s="58"/>
      <c r="G123" s="58"/>
      <c r="H123" s="59"/>
    </row>
    <row r="124" spans="1:8" x14ac:dyDescent="0.2">
      <c r="A124" s="55"/>
      <c r="B124" s="56"/>
      <c r="C124" s="57"/>
      <c r="D124" s="57"/>
      <c r="E124" s="58"/>
      <c r="F124" s="58"/>
      <c r="G124" s="58"/>
      <c r="H124" s="59"/>
    </row>
    <row r="125" spans="1:8" x14ac:dyDescent="0.2">
      <c r="A125" s="55"/>
      <c r="B125" s="56"/>
      <c r="C125" s="57"/>
      <c r="D125" s="57"/>
      <c r="E125" s="58"/>
      <c r="F125" s="58"/>
      <c r="G125" s="58"/>
      <c r="H125" s="59"/>
    </row>
    <row r="126" spans="1:8" x14ac:dyDescent="0.2">
      <c r="A126" s="55"/>
      <c r="B126" s="56"/>
      <c r="C126" s="57"/>
      <c r="D126" s="57"/>
      <c r="E126" s="58"/>
      <c r="F126" s="58"/>
      <c r="G126" s="58"/>
      <c r="H126" s="59"/>
    </row>
    <row r="127" spans="1:8" x14ac:dyDescent="0.2">
      <c r="A127" s="55"/>
      <c r="B127" s="56"/>
      <c r="C127" s="57"/>
      <c r="D127" s="57"/>
      <c r="E127" s="58"/>
      <c r="F127" s="58"/>
      <c r="G127" s="58"/>
      <c r="H127" s="59"/>
    </row>
    <row r="128" spans="1:8" x14ac:dyDescent="0.2">
      <c r="A128" s="55"/>
      <c r="B128" s="56"/>
      <c r="C128" s="57"/>
      <c r="D128" s="57"/>
      <c r="E128" s="58"/>
      <c r="F128" s="58"/>
      <c r="G128" s="58"/>
      <c r="H128" s="59"/>
    </row>
    <row r="129" spans="1:8" x14ac:dyDescent="0.2">
      <c r="A129" s="55"/>
      <c r="B129" s="56"/>
      <c r="C129" s="57"/>
      <c r="D129" s="57"/>
      <c r="E129" s="58"/>
      <c r="F129" s="58"/>
      <c r="G129" s="58"/>
      <c r="H129" s="59"/>
    </row>
    <row r="130" spans="1:8" x14ac:dyDescent="0.2">
      <c r="A130" s="55"/>
      <c r="B130" s="56"/>
      <c r="C130" s="57"/>
      <c r="D130" s="57"/>
      <c r="E130" s="58"/>
      <c r="F130" s="58"/>
      <c r="G130" s="58"/>
      <c r="H130" s="59"/>
    </row>
    <row r="131" spans="1:8" x14ac:dyDescent="0.2">
      <c r="A131" s="55"/>
      <c r="B131" s="56"/>
      <c r="C131" s="57"/>
      <c r="D131" s="57"/>
      <c r="E131" s="58"/>
      <c r="F131" s="58"/>
      <c r="G131" s="58"/>
      <c r="H131" s="59"/>
    </row>
    <row r="132" spans="1:8" x14ac:dyDescent="0.2">
      <c r="A132" s="55"/>
      <c r="B132" s="56"/>
      <c r="C132" s="57"/>
      <c r="D132" s="57"/>
      <c r="E132" s="58"/>
      <c r="F132" s="58"/>
      <c r="G132" s="58"/>
      <c r="H132" s="59"/>
    </row>
    <row r="133" spans="1:8" x14ac:dyDescent="0.2">
      <c r="A133" s="55"/>
      <c r="B133" s="56"/>
      <c r="C133" s="57"/>
      <c r="D133" s="57"/>
      <c r="E133" s="58"/>
      <c r="F133" s="58"/>
      <c r="G133" s="58"/>
      <c r="H133" s="59"/>
    </row>
    <row r="134" spans="1:8" x14ac:dyDescent="0.2">
      <c r="A134" s="55"/>
      <c r="B134" s="56"/>
      <c r="C134" s="57"/>
      <c r="D134" s="57"/>
      <c r="E134" s="58"/>
      <c r="F134" s="58"/>
      <c r="G134" s="58"/>
      <c r="H134" s="59"/>
    </row>
    <row r="135" spans="1:8" x14ac:dyDescent="0.2">
      <c r="A135" s="55"/>
      <c r="B135" s="56"/>
      <c r="C135" s="57"/>
      <c r="D135" s="57"/>
      <c r="E135" s="58"/>
      <c r="F135" s="58"/>
      <c r="G135" s="58"/>
      <c r="H135" s="59"/>
    </row>
    <row r="136" spans="1:8" x14ac:dyDescent="0.2">
      <c r="A136" s="55"/>
      <c r="B136" s="56"/>
      <c r="C136" s="57"/>
      <c r="D136" s="57"/>
      <c r="E136" s="58"/>
      <c r="F136" s="58"/>
      <c r="G136" s="58"/>
      <c r="H136" s="59"/>
    </row>
    <row r="137" spans="1:8" x14ac:dyDescent="0.2">
      <c r="A137" s="55"/>
      <c r="B137" s="56"/>
      <c r="C137" s="57"/>
      <c r="D137" s="57"/>
      <c r="E137" s="58"/>
      <c r="F137" s="58"/>
      <c r="G137" s="58"/>
      <c r="H137" s="59"/>
    </row>
    <row r="138" spans="1:8" x14ac:dyDescent="0.2">
      <c r="A138" s="55"/>
      <c r="B138" s="56"/>
      <c r="C138" s="57"/>
      <c r="D138" s="57"/>
      <c r="E138" s="58"/>
      <c r="F138" s="58"/>
      <c r="G138" s="58"/>
      <c r="H138" s="59"/>
    </row>
    <row r="139" spans="1:8" x14ac:dyDescent="0.2">
      <c r="A139" s="55"/>
      <c r="B139" s="56"/>
      <c r="C139" s="57"/>
      <c r="D139" s="57"/>
      <c r="E139" s="58"/>
      <c r="F139" s="58"/>
      <c r="G139" s="58"/>
      <c r="H139" s="59"/>
    </row>
  </sheetData>
  <mergeCells count="11">
    <mergeCell ref="A1:B1"/>
    <mergeCell ref="A2:A3"/>
    <mergeCell ref="B2:B3"/>
    <mergeCell ref="C2:C3"/>
    <mergeCell ref="D2:D3"/>
    <mergeCell ref="G2:G3"/>
    <mergeCell ref="H2:H3"/>
    <mergeCell ref="A7:G7"/>
    <mergeCell ref="A8:G8"/>
    <mergeCell ref="A94:G94"/>
    <mergeCell ref="E2:F2"/>
  </mergeCells>
  <conditionalFormatting sqref="C1:C2 D1:D3">
    <cfRule type="cellIs" dxfId="215" priority="7" stopIfTrue="1" operator="equal">
      <formula>0</formula>
    </cfRule>
  </conditionalFormatting>
  <conditionalFormatting sqref="C7:D7">
    <cfRule type="cellIs" dxfId="214" priority="6" stopIfTrue="1" operator="equal">
      <formula>0</formula>
    </cfRule>
  </conditionalFormatting>
  <conditionalFormatting sqref="C8:D8">
    <cfRule type="cellIs" dxfId="213" priority="5" stopIfTrue="1" operator="equal">
      <formula>0</formula>
    </cfRule>
  </conditionalFormatting>
  <conditionalFormatting sqref="C9:D66 C71:D93">
    <cfRule type="cellIs" dxfId="212" priority="4" stopIfTrue="1" operator="equal">
      <formula>0</formula>
    </cfRule>
  </conditionalFormatting>
  <conditionalFormatting sqref="C67:D70">
    <cfRule type="cellIs" dxfId="211" priority="3" stopIfTrue="1" operator="equal">
      <formula>0</formula>
    </cfRule>
  </conditionalFormatting>
  <conditionalFormatting sqref="C94:D94">
    <cfRule type="cellIs" dxfId="210" priority="2" stopIfTrue="1" operator="equal">
      <formula>0</formula>
    </cfRule>
  </conditionalFormatting>
  <conditionalFormatting sqref="C95:D139">
    <cfRule type="cellIs" dxfId="209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H71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2.85546875" customWidth="1"/>
    <col min="2" max="2" width="89" customWidth="1"/>
    <col min="3" max="3" width="10.85546875" customWidth="1"/>
    <col min="4" max="4" width="9.42578125" customWidth="1"/>
    <col min="5" max="5" width="10.85546875" customWidth="1"/>
    <col min="6" max="6" width="10.5703125" customWidth="1"/>
    <col min="7" max="7" width="10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0.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0.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0.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476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477</v>
      </c>
      <c r="B8" s="222">
        <v>0</v>
      </c>
      <c r="C8" s="222">
        <v>0</v>
      </c>
      <c r="D8" s="222" t="e">
        <v>#REF!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478</v>
      </c>
      <c r="B9" s="39" t="s">
        <v>479</v>
      </c>
      <c r="C9" s="40" t="s">
        <v>129</v>
      </c>
      <c r="D9" s="77">
        <v>2000</v>
      </c>
      <c r="E9" s="78">
        <v>48.8</v>
      </c>
      <c r="F9" s="78">
        <v>54.2</v>
      </c>
      <c r="G9" s="79">
        <v>59.6</v>
      </c>
      <c r="H9" s="37" t="s">
        <v>53</v>
      </c>
    </row>
    <row r="10" spans="1:8" ht="18.95" customHeight="1" thickTop="1" thickBot="1" x14ac:dyDescent="0.25">
      <c r="A10" s="38" t="s">
        <v>480</v>
      </c>
      <c r="B10" s="39" t="s">
        <v>481</v>
      </c>
      <c r="C10" s="40" t="s">
        <v>129</v>
      </c>
      <c r="D10" s="77">
        <v>2000</v>
      </c>
      <c r="E10" s="78">
        <v>48.8</v>
      </c>
      <c r="F10" s="78">
        <v>54.2</v>
      </c>
      <c r="G10" s="79">
        <v>59.6</v>
      </c>
      <c r="H10" s="37" t="s">
        <v>53</v>
      </c>
    </row>
    <row r="11" spans="1:8" ht="18.95" customHeight="1" thickTop="1" thickBot="1" x14ac:dyDescent="0.25">
      <c r="A11" s="38" t="s">
        <v>482</v>
      </c>
      <c r="B11" s="39" t="s">
        <v>483</v>
      </c>
      <c r="C11" s="40" t="s">
        <v>129</v>
      </c>
      <c r="D11" s="77">
        <v>3000</v>
      </c>
      <c r="E11" s="78">
        <v>52.1</v>
      </c>
      <c r="F11" s="78">
        <v>56.5</v>
      </c>
      <c r="G11" s="79">
        <v>65.099999999999994</v>
      </c>
      <c r="H11" s="37" t="s">
        <v>53</v>
      </c>
    </row>
    <row r="12" spans="1:8" ht="18.95" customHeight="1" thickTop="1" thickBot="1" x14ac:dyDescent="0.25">
      <c r="A12" s="38" t="s">
        <v>484</v>
      </c>
      <c r="B12" s="39" t="s">
        <v>485</v>
      </c>
      <c r="C12" s="40" t="s">
        <v>129</v>
      </c>
      <c r="D12" s="77">
        <v>500</v>
      </c>
      <c r="E12" s="254" t="s">
        <v>486</v>
      </c>
      <c r="F12" s="255">
        <v>0</v>
      </c>
      <c r="G12" s="256">
        <v>0</v>
      </c>
      <c r="H12" s="37" t="s">
        <v>50</v>
      </c>
    </row>
    <row r="13" spans="1:8" ht="18.95" customHeight="1" thickTop="1" thickBot="1" x14ac:dyDescent="0.25">
      <c r="A13" s="38" t="s">
        <v>487</v>
      </c>
      <c r="B13" s="39" t="s">
        <v>488</v>
      </c>
      <c r="C13" s="40" t="s">
        <v>129</v>
      </c>
      <c r="D13" s="77">
        <v>400</v>
      </c>
      <c r="E13" s="80">
        <v>140.6</v>
      </c>
      <c r="F13" s="80">
        <v>154.4</v>
      </c>
      <c r="G13" s="81">
        <v>170.6</v>
      </c>
      <c r="H13" s="37" t="s">
        <v>53</v>
      </c>
    </row>
    <row r="14" spans="1:8" ht="18" customHeight="1" thickTop="1" thickBot="1" x14ac:dyDescent="0.25">
      <c r="A14" s="38" t="s">
        <v>489</v>
      </c>
      <c r="B14" s="39" t="s">
        <v>490</v>
      </c>
      <c r="C14" s="40" t="s">
        <v>129</v>
      </c>
      <c r="D14" s="77">
        <v>400</v>
      </c>
      <c r="E14" s="80">
        <v>142.80000000000001</v>
      </c>
      <c r="F14" s="80">
        <v>156.9</v>
      </c>
      <c r="G14" s="81">
        <v>173</v>
      </c>
      <c r="H14" s="37" t="s">
        <v>53</v>
      </c>
    </row>
    <row r="15" spans="1:8" ht="14.25" thickTop="1" thickBot="1" x14ac:dyDescent="0.25">
      <c r="A15" s="38" t="s">
        <v>491</v>
      </c>
      <c r="B15" s="39" t="s">
        <v>492</v>
      </c>
      <c r="C15" s="40" t="s">
        <v>129</v>
      </c>
      <c r="D15" s="77">
        <v>400</v>
      </c>
      <c r="E15" s="80">
        <v>158.5</v>
      </c>
      <c r="F15" s="80">
        <v>174.6</v>
      </c>
      <c r="G15" s="81">
        <v>192.3</v>
      </c>
      <c r="H15" s="37" t="s">
        <v>53</v>
      </c>
    </row>
    <row r="16" spans="1:8" ht="14.25" thickTop="1" thickBot="1" x14ac:dyDescent="0.25">
      <c r="A16" s="38" t="s">
        <v>493</v>
      </c>
      <c r="B16" s="39" t="s">
        <v>494</v>
      </c>
      <c r="C16" s="40" t="s">
        <v>129</v>
      </c>
      <c r="D16" s="77">
        <v>400</v>
      </c>
      <c r="E16" s="80">
        <v>116.2</v>
      </c>
      <c r="F16" s="80">
        <v>127.3</v>
      </c>
      <c r="G16" s="81">
        <v>140.69999999999999</v>
      </c>
      <c r="H16" s="37" t="s">
        <v>53</v>
      </c>
    </row>
    <row r="17" spans="1:8" ht="27" thickTop="1" thickBot="1" x14ac:dyDescent="0.25">
      <c r="A17" s="38" t="s">
        <v>495</v>
      </c>
      <c r="B17" s="39" t="s">
        <v>496</v>
      </c>
      <c r="C17" s="40" t="s">
        <v>129</v>
      </c>
      <c r="D17" s="77">
        <v>700</v>
      </c>
      <c r="E17" s="80">
        <v>100.3</v>
      </c>
      <c r="F17" s="80">
        <v>109.7</v>
      </c>
      <c r="G17" s="81">
        <v>121.5</v>
      </c>
      <c r="H17" s="37" t="s">
        <v>53</v>
      </c>
    </row>
    <row r="18" spans="1:8" ht="14.25" thickTop="1" thickBot="1" x14ac:dyDescent="0.25">
      <c r="A18" s="221" t="s">
        <v>497</v>
      </c>
      <c r="B18" s="222">
        <v>0</v>
      </c>
      <c r="C18" s="222">
        <v>0</v>
      </c>
      <c r="D18" s="222" t="e">
        <v>#REF!</v>
      </c>
      <c r="E18" s="222">
        <v>0</v>
      </c>
      <c r="F18" s="222">
        <v>0</v>
      </c>
      <c r="G18" s="223">
        <v>0</v>
      </c>
      <c r="H18" s="37" t="s">
        <v>44</v>
      </c>
    </row>
    <row r="19" spans="1:8" ht="14.25" thickTop="1" thickBot="1" x14ac:dyDescent="0.25">
      <c r="A19" s="38" t="s">
        <v>498</v>
      </c>
      <c r="B19" s="39" t="s">
        <v>499</v>
      </c>
      <c r="C19" s="40" t="s">
        <v>129</v>
      </c>
      <c r="D19" s="82">
        <v>2000</v>
      </c>
      <c r="E19" s="80">
        <v>78.3</v>
      </c>
      <c r="F19" s="80">
        <v>83.3</v>
      </c>
      <c r="G19" s="81">
        <v>88.5</v>
      </c>
      <c r="H19" s="37" t="s">
        <v>53</v>
      </c>
    </row>
    <row r="20" spans="1:8" ht="14.25" thickTop="1" thickBot="1" x14ac:dyDescent="0.25">
      <c r="A20" s="38" t="s">
        <v>500</v>
      </c>
      <c r="B20" s="39" t="s">
        <v>501</v>
      </c>
      <c r="C20" s="40" t="s">
        <v>129</v>
      </c>
      <c r="D20" s="82">
        <v>1000</v>
      </c>
      <c r="E20" s="80">
        <v>78.3</v>
      </c>
      <c r="F20" s="80">
        <v>83.3</v>
      </c>
      <c r="G20" s="81">
        <v>88.5</v>
      </c>
      <c r="H20" s="37" t="s">
        <v>53</v>
      </c>
    </row>
    <row r="21" spans="1:8" ht="14.25" thickTop="1" thickBot="1" x14ac:dyDescent="0.25">
      <c r="A21" s="38" t="s">
        <v>502</v>
      </c>
      <c r="B21" s="39" t="s">
        <v>503</v>
      </c>
      <c r="C21" s="40" t="s">
        <v>129</v>
      </c>
      <c r="D21" s="77">
        <v>500</v>
      </c>
      <c r="E21" s="80">
        <v>113.7</v>
      </c>
      <c r="F21" s="80">
        <v>120.8</v>
      </c>
      <c r="G21" s="81">
        <v>128.5</v>
      </c>
      <c r="H21" s="37" t="s">
        <v>53</v>
      </c>
    </row>
    <row r="22" spans="1:8" ht="27" thickTop="1" thickBot="1" x14ac:dyDescent="0.25">
      <c r="A22" s="38" t="s">
        <v>504</v>
      </c>
      <c r="B22" s="39" t="s">
        <v>505</v>
      </c>
      <c r="C22" s="40" t="s">
        <v>129</v>
      </c>
      <c r="D22" s="77">
        <v>500</v>
      </c>
      <c r="E22" s="80">
        <v>113.7</v>
      </c>
      <c r="F22" s="80">
        <v>120.8</v>
      </c>
      <c r="G22" s="81">
        <v>128.5</v>
      </c>
      <c r="H22" s="37" t="s">
        <v>53</v>
      </c>
    </row>
    <row r="23" spans="1:8" ht="27" thickTop="1" thickBot="1" x14ac:dyDescent="0.25">
      <c r="A23" s="38" t="s">
        <v>506</v>
      </c>
      <c r="B23" s="39" t="s">
        <v>507</v>
      </c>
      <c r="C23" s="40" t="s">
        <v>129</v>
      </c>
      <c r="D23" s="82">
        <v>500</v>
      </c>
      <c r="E23" s="80">
        <v>113.7</v>
      </c>
      <c r="F23" s="80">
        <v>120.8</v>
      </c>
      <c r="G23" s="81">
        <v>128.5</v>
      </c>
      <c r="H23" s="37" t="s">
        <v>53</v>
      </c>
    </row>
    <row r="24" spans="1:8" ht="14.25" thickTop="1" thickBot="1" x14ac:dyDescent="0.25">
      <c r="A24" s="38" t="s">
        <v>508</v>
      </c>
      <c r="B24" s="39" t="s">
        <v>509</v>
      </c>
      <c r="C24" s="40" t="s">
        <v>129</v>
      </c>
      <c r="D24" s="83">
        <v>1000</v>
      </c>
      <c r="E24" s="84">
        <v>52</v>
      </c>
      <c r="F24" s="84">
        <v>57.8</v>
      </c>
      <c r="G24" s="85">
        <v>63.8</v>
      </c>
      <c r="H24" s="37" t="s">
        <v>53</v>
      </c>
    </row>
    <row r="25" spans="1:8" ht="14.25" thickTop="1" thickBot="1" x14ac:dyDescent="0.25">
      <c r="A25" s="38" t="s">
        <v>510</v>
      </c>
      <c r="B25" s="39" t="s">
        <v>511</v>
      </c>
      <c r="C25" s="40" t="s">
        <v>129</v>
      </c>
      <c r="D25" s="83">
        <v>15</v>
      </c>
      <c r="E25" s="84">
        <v>2700.9</v>
      </c>
      <c r="F25" s="84">
        <v>3102.4</v>
      </c>
      <c r="G25" s="85">
        <v>3420.5</v>
      </c>
      <c r="H25" s="37" t="s">
        <v>53</v>
      </c>
    </row>
    <row r="26" spans="1:8" ht="27" thickTop="1" thickBot="1" x14ac:dyDescent="0.25">
      <c r="A26" s="49" t="s">
        <v>512</v>
      </c>
      <c r="B26" s="50" t="s">
        <v>513</v>
      </c>
      <c r="C26" s="51" t="s">
        <v>129</v>
      </c>
      <c r="D26" s="86">
        <v>14</v>
      </c>
      <c r="E26" s="87">
        <v>2252.9</v>
      </c>
      <c r="F26" s="87">
        <v>2594.9</v>
      </c>
      <c r="G26" s="88">
        <v>2854.5</v>
      </c>
      <c r="H26" s="54" t="s">
        <v>53</v>
      </c>
    </row>
    <row r="27" spans="1:8" ht="13.5" thickTop="1" x14ac:dyDescent="0.2">
      <c r="A27" s="55"/>
      <c r="B27" s="56"/>
      <c r="C27" s="57"/>
      <c r="D27" s="57"/>
      <c r="E27" s="58"/>
      <c r="F27" s="58"/>
      <c r="G27" s="58"/>
      <c r="H27" s="59"/>
    </row>
    <row r="28" spans="1:8" x14ac:dyDescent="0.2">
      <c r="A28" s="55"/>
      <c r="B28" s="56"/>
      <c r="C28" s="57"/>
      <c r="D28" s="57"/>
      <c r="E28" s="58"/>
      <c r="F28" s="58"/>
      <c r="G28" s="58"/>
      <c r="H28" s="59"/>
    </row>
    <row r="29" spans="1:8" x14ac:dyDescent="0.2">
      <c r="A29" s="55"/>
      <c r="B29" s="56"/>
      <c r="C29" s="57"/>
      <c r="D29" s="57"/>
      <c r="E29" s="58"/>
      <c r="F29" s="58"/>
      <c r="G29" s="58"/>
      <c r="H29" s="59"/>
    </row>
    <row r="30" spans="1:8" x14ac:dyDescent="0.2">
      <c r="A30" s="55"/>
      <c r="B30" s="56"/>
      <c r="C30" s="57"/>
      <c r="D30" s="57"/>
      <c r="E30" s="58"/>
      <c r="F30" s="58"/>
      <c r="G30" s="58"/>
      <c r="H30" s="59"/>
    </row>
    <row r="31" spans="1:8" x14ac:dyDescent="0.2">
      <c r="A31" s="55"/>
      <c r="B31" s="56"/>
      <c r="C31" s="57"/>
      <c r="D31" s="57"/>
      <c r="E31" s="58"/>
      <c r="F31" s="58"/>
      <c r="G31" s="58"/>
      <c r="H31" s="59"/>
    </row>
    <row r="32" spans="1:8" x14ac:dyDescent="0.2">
      <c r="A32" s="55"/>
      <c r="B32" s="56"/>
      <c r="C32" s="57"/>
      <c r="D32" s="57"/>
      <c r="E32" s="58"/>
      <c r="F32" s="58"/>
      <c r="G32" s="58"/>
      <c r="H32" s="59"/>
    </row>
    <row r="33" spans="1:8" x14ac:dyDescent="0.2">
      <c r="A33" s="55"/>
      <c r="B33" s="56"/>
      <c r="C33" s="57"/>
      <c r="D33" s="57"/>
      <c r="E33" s="58"/>
      <c r="F33" s="58"/>
      <c r="G33" s="58"/>
      <c r="H33" s="59"/>
    </row>
    <row r="34" spans="1:8" x14ac:dyDescent="0.2">
      <c r="A34" s="55"/>
      <c r="B34" s="56"/>
      <c r="C34" s="57"/>
      <c r="D34" s="57"/>
      <c r="E34" s="58"/>
      <c r="F34" s="58"/>
      <c r="G34" s="58"/>
      <c r="H34" s="59"/>
    </row>
    <row r="35" spans="1:8" x14ac:dyDescent="0.2">
      <c r="A35" s="55"/>
      <c r="B35" s="56"/>
      <c r="C35" s="57"/>
      <c r="D35" s="57"/>
      <c r="E35" s="58"/>
      <c r="F35" s="58"/>
      <c r="G35" s="58"/>
      <c r="H35" s="59"/>
    </row>
    <row r="36" spans="1:8" x14ac:dyDescent="0.2">
      <c r="A36" s="55"/>
      <c r="B36" s="56"/>
      <c r="C36" s="57"/>
      <c r="D36" s="57"/>
      <c r="E36" s="58"/>
      <c r="F36" s="58"/>
      <c r="G36" s="58"/>
      <c r="H36" s="59"/>
    </row>
    <row r="37" spans="1:8" x14ac:dyDescent="0.2">
      <c r="A37" s="55"/>
      <c r="B37" s="56"/>
      <c r="C37" s="57"/>
      <c r="D37" s="57"/>
      <c r="E37" s="58"/>
      <c r="F37" s="58"/>
      <c r="G37" s="58"/>
      <c r="H37" s="59"/>
    </row>
    <row r="38" spans="1:8" x14ac:dyDescent="0.2">
      <c r="A38" s="55"/>
      <c r="B38" s="56"/>
      <c r="C38" s="57"/>
      <c r="D38" s="57"/>
      <c r="E38" s="58"/>
      <c r="F38" s="58"/>
      <c r="G38" s="58"/>
      <c r="H38" s="59"/>
    </row>
    <row r="39" spans="1:8" x14ac:dyDescent="0.2">
      <c r="A39" s="55"/>
      <c r="B39" s="56"/>
      <c r="C39" s="57"/>
      <c r="D39" s="57"/>
      <c r="E39" s="58"/>
      <c r="F39" s="58"/>
      <c r="G39" s="58"/>
      <c r="H39" s="59"/>
    </row>
    <row r="40" spans="1:8" x14ac:dyDescent="0.2">
      <c r="A40" s="55"/>
      <c r="B40" s="56"/>
      <c r="C40" s="57"/>
      <c r="D40" s="57"/>
      <c r="E40" s="58"/>
      <c r="F40" s="58"/>
      <c r="G40" s="58"/>
      <c r="H40" s="59"/>
    </row>
    <row r="41" spans="1:8" x14ac:dyDescent="0.2">
      <c r="A41" s="55"/>
      <c r="B41" s="56"/>
      <c r="C41" s="57"/>
      <c r="D41" s="57"/>
      <c r="E41" s="58"/>
      <c r="F41" s="58"/>
      <c r="G41" s="58"/>
      <c r="H41" s="59"/>
    </row>
    <row r="42" spans="1:8" x14ac:dyDescent="0.2">
      <c r="A42" s="55"/>
      <c r="B42" s="56"/>
      <c r="C42" s="57"/>
      <c r="D42" s="57"/>
      <c r="E42" s="58"/>
      <c r="F42" s="58"/>
      <c r="G42" s="58"/>
      <c r="H42" s="59"/>
    </row>
    <row r="43" spans="1:8" x14ac:dyDescent="0.2">
      <c r="A43" s="55"/>
      <c r="B43" s="56"/>
      <c r="C43" s="57"/>
      <c r="D43" s="57"/>
      <c r="E43" s="58"/>
      <c r="F43" s="58"/>
      <c r="G43" s="58"/>
      <c r="H43" s="59"/>
    </row>
    <row r="44" spans="1:8" x14ac:dyDescent="0.2">
      <c r="A44" s="55"/>
      <c r="B44" s="56"/>
      <c r="C44" s="57"/>
      <c r="D44" s="57"/>
      <c r="E44" s="58"/>
      <c r="F44" s="58"/>
      <c r="G44" s="58"/>
      <c r="H44" s="59"/>
    </row>
    <row r="45" spans="1:8" x14ac:dyDescent="0.2">
      <c r="A45" s="55"/>
      <c r="B45" s="56"/>
      <c r="C45" s="57"/>
      <c r="D45" s="57"/>
      <c r="E45" s="58"/>
      <c r="F45" s="58"/>
      <c r="G45" s="58"/>
      <c r="H45" s="59"/>
    </row>
    <row r="46" spans="1:8" x14ac:dyDescent="0.2">
      <c r="A46" s="55"/>
      <c r="B46" s="56"/>
      <c r="C46" s="57"/>
      <c r="D46" s="57"/>
      <c r="E46" s="58"/>
      <c r="F46" s="58"/>
      <c r="G46" s="58"/>
      <c r="H46" s="59"/>
    </row>
    <row r="47" spans="1:8" x14ac:dyDescent="0.2">
      <c r="A47" s="55"/>
      <c r="B47" s="56"/>
      <c r="C47" s="57"/>
      <c r="D47" s="57"/>
      <c r="E47" s="58"/>
      <c r="F47" s="58"/>
      <c r="G47" s="58"/>
      <c r="H47" s="59"/>
    </row>
    <row r="48" spans="1:8" x14ac:dyDescent="0.2">
      <c r="A48" s="55"/>
      <c r="B48" s="56"/>
      <c r="C48" s="57"/>
      <c r="D48" s="57"/>
      <c r="E48" s="58"/>
      <c r="F48" s="58"/>
      <c r="G48" s="58"/>
      <c r="H48" s="59"/>
    </row>
    <row r="49" spans="1:8" x14ac:dyDescent="0.2">
      <c r="A49" s="55"/>
      <c r="B49" s="56"/>
      <c r="C49" s="57"/>
      <c r="D49" s="57"/>
      <c r="E49" s="58"/>
      <c r="F49" s="58"/>
      <c r="G49" s="58"/>
      <c r="H49" s="59"/>
    </row>
    <row r="50" spans="1:8" x14ac:dyDescent="0.2">
      <c r="A50" s="55"/>
      <c r="B50" s="56"/>
      <c r="C50" s="57"/>
      <c r="D50" s="57"/>
      <c r="E50" s="58"/>
      <c r="F50" s="58"/>
      <c r="G50" s="58"/>
      <c r="H50" s="59"/>
    </row>
    <row r="51" spans="1:8" x14ac:dyDescent="0.2">
      <c r="A51" s="55"/>
      <c r="B51" s="56"/>
      <c r="C51" s="57"/>
      <c r="D51" s="57"/>
      <c r="E51" s="58"/>
      <c r="F51" s="58"/>
      <c r="G51" s="58"/>
      <c r="H51" s="59"/>
    </row>
    <row r="52" spans="1:8" x14ac:dyDescent="0.2">
      <c r="A52" s="55"/>
      <c r="B52" s="56"/>
      <c r="C52" s="57"/>
      <c r="D52" s="57"/>
      <c r="E52" s="58"/>
      <c r="F52" s="58"/>
      <c r="G52" s="58"/>
      <c r="H52" s="59"/>
    </row>
    <row r="53" spans="1:8" x14ac:dyDescent="0.2">
      <c r="A53" s="55"/>
      <c r="B53" s="56"/>
      <c r="C53" s="57"/>
      <c r="D53" s="57"/>
      <c r="E53" s="58"/>
      <c r="F53" s="58"/>
      <c r="G53" s="58"/>
      <c r="H53" s="59"/>
    </row>
    <row r="54" spans="1:8" x14ac:dyDescent="0.2">
      <c r="A54" s="55"/>
      <c r="B54" s="56"/>
      <c r="C54" s="57"/>
      <c r="D54" s="57"/>
      <c r="E54" s="58"/>
      <c r="F54" s="58"/>
      <c r="G54" s="58"/>
      <c r="H54" s="59"/>
    </row>
    <row r="55" spans="1:8" x14ac:dyDescent="0.2">
      <c r="A55" s="55"/>
      <c r="B55" s="56"/>
      <c r="C55" s="57"/>
      <c r="D55" s="57"/>
      <c r="E55" s="58"/>
      <c r="F55" s="58"/>
      <c r="G55" s="58"/>
      <c r="H55" s="59"/>
    </row>
    <row r="56" spans="1:8" x14ac:dyDescent="0.2">
      <c r="A56" s="55"/>
      <c r="B56" s="56"/>
      <c r="C56" s="57"/>
      <c r="D56" s="57"/>
      <c r="E56" s="58"/>
      <c r="F56" s="58"/>
      <c r="G56" s="58"/>
      <c r="H56" s="59"/>
    </row>
    <row r="57" spans="1:8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  <row r="68" spans="1:8" x14ac:dyDescent="0.2">
      <c r="A68" s="55"/>
      <c r="B68" s="56"/>
      <c r="C68" s="57"/>
      <c r="D68" s="57"/>
      <c r="E68" s="58"/>
      <c r="F68" s="58"/>
      <c r="G68" s="58"/>
      <c r="H68" s="59"/>
    </row>
    <row r="69" spans="1:8" x14ac:dyDescent="0.2">
      <c r="A69" s="55"/>
      <c r="B69" s="56"/>
      <c r="C69" s="57"/>
      <c r="D69" s="57"/>
      <c r="E69" s="58"/>
      <c r="F69" s="58"/>
      <c r="G69" s="58"/>
      <c r="H69" s="59"/>
    </row>
    <row r="70" spans="1:8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</sheetData>
  <mergeCells count="12">
    <mergeCell ref="A1:B1"/>
    <mergeCell ref="A2:A3"/>
    <mergeCell ref="B2:B3"/>
    <mergeCell ref="C2:C3"/>
    <mergeCell ref="D2:D3"/>
    <mergeCell ref="H2:H3"/>
    <mergeCell ref="A7:G7"/>
    <mergeCell ref="A8:G8"/>
    <mergeCell ref="E12:G12"/>
    <mergeCell ref="A18:G18"/>
    <mergeCell ref="E2:F2"/>
    <mergeCell ref="G2:G3"/>
  </mergeCells>
  <phoneticPr fontId="0" type="noConversion"/>
  <conditionalFormatting sqref="C10:D17 C19:D20 C24:D24 C22:D22 E13:G17 E26:G26 E19:G23 C1:C2 D1:D3">
    <cfRule type="cellIs" dxfId="208" priority="10" stopIfTrue="1" operator="equal">
      <formula>0</formula>
    </cfRule>
  </conditionalFormatting>
  <conditionalFormatting sqref="C7:D7">
    <cfRule type="cellIs" dxfId="207" priority="9" stopIfTrue="1" operator="equal">
      <formula>0</formula>
    </cfRule>
  </conditionalFormatting>
  <conditionalFormatting sqref="C8:D8">
    <cfRule type="cellIs" dxfId="206" priority="8" stopIfTrue="1" operator="equal">
      <formula>0</formula>
    </cfRule>
  </conditionalFormatting>
  <conditionalFormatting sqref="C18:D18">
    <cfRule type="cellIs" dxfId="205" priority="7" stopIfTrue="1" operator="equal">
      <formula>0</formula>
    </cfRule>
  </conditionalFormatting>
  <conditionalFormatting sqref="C9:D9">
    <cfRule type="cellIs" dxfId="204" priority="6" stopIfTrue="1" operator="equal">
      <formula>0</formula>
    </cfRule>
  </conditionalFormatting>
  <conditionalFormatting sqref="C23:D23">
    <cfRule type="cellIs" dxfId="203" priority="5" stopIfTrue="1" operator="equal">
      <formula>0</formula>
    </cfRule>
  </conditionalFormatting>
  <conditionalFormatting sqref="C25:D25">
    <cfRule type="cellIs" dxfId="202" priority="4" stopIfTrue="1" operator="equal">
      <formula>0</formula>
    </cfRule>
  </conditionalFormatting>
  <conditionalFormatting sqref="C26:D26">
    <cfRule type="cellIs" dxfId="201" priority="3" stopIfTrue="1" operator="equal">
      <formula>0</formula>
    </cfRule>
  </conditionalFormatting>
  <conditionalFormatting sqref="C21:D21">
    <cfRule type="cellIs" dxfId="200" priority="2" stopIfTrue="1" operator="equal">
      <formula>0</formula>
    </cfRule>
  </conditionalFormatting>
  <conditionalFormatting sqref="C27:D71">
    <cfRule type="cellIs" dxfId="199" priority="1" stopIfTrue="1" operator="equal">
      <formula>0</formula>
    </cfRule>
  </conditionalFormatting>
  <hyperlinks>
    <hyperlink ref="H7" location="'Провода цвета'!A1" display="!!!"/>
    <hyperlink ref="H8" location="'Провода цвета'!A1" display="!!!"/>
    <hyperlink ref="H9" location="'Провода цвета'!A1" display="!!!"/>
    <hyperlink ref="H10:H11" location="'Провода цвета'!A1" display="!!!"/>
  </hyperlinks>
  <pageMargins left="0.15748031496062992" right="0.16" top="0.39370078740157483" bottom="0.98425196850393704" header="0" footer="0.51181102362204722"/>
  <pageSetup paperSize="9" scale="63" fitToHeight="5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ColWidth="9" defaultRowHeight="12.75" x14ac:dyDescent="0.2"/>
  <cols>
    <col min="1" max="1" width="27.7109375" style="162" customWidth="1"/>
    <col min="2" max="2" width="31.42578125" style="162" customWidth="1"/>
    <col min="3" max="3" width="74.42578125" customWidth="1"/>
    <col min="4" max="4" width="10.42578125" customWidth="1"/>
    <col min="5" max="5" width="9.42578125" customWidth="1"/>
    <col min="6" max="6" width="11.42578125" customWidth="1"/>
    <col min="7" max="7" width="11" customWidth="1"/>
    <col min="8" max="8" width="9.85546875" customWidth="1"/>
    <col min="10" max="16384" width="9" style="162"/>
  </cols>
  <sheetData>
    <row r="1" customFormat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10" customFormat="1" ht="33.75" customHeight="1" thickTop="1" thickBot="1" x14ac:dyDescent="0.25">
      <c r="A2" s="236" t="s">
        <v>32</v>
      </c>
      <c r="B2" s="173"/>
      <c r="C2" s="238" t="s">
        <v>33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10" customFormat="1" ht="46.5" customHeight="1" thickTop="1" thickBot="1" x14ac:dyDescent="0.25">
      <c r="A3" s="237"/>
      <c r="B3" s="172"/>
      <c r="C3" s="239"/>
      <c r="D3" s="243"/>
      <c r="E3" s="21" t="s">
        <v>38</v>
      </c>
      <c r="F3" s="21" t="s">
        <v>39</v>
      </c>
      <c r="G3" s="246"/>
      <c r="H3" s="231"/>
    </row>
    <row r="4" spans="1:10" customFormat="1" ht="11.25" customHeight="1" thickTop="1" thickBot="1" x14ac:dyDescent="0.25">
      <c r="A4" s="171"/>
      <c r="B4" s="257" t="s">
        <v>40</v>
      </c>
      <c r="C4" s="257"/>
      <c r="D4" s="257">
        <v>0</v>
      </c>
      <c r="E4" s="257">
        <v>0</v>
      </c>
      <c r="F4" s="257">
        <v>0</v>
      </c>
      <c r="G4" s="257">
        <v>0</v>
      </c>
      <c r="H4" s="258">
        <v>0</v>
      </c>
    </row>
    <row r="5" spans="1:10" customFormat="1" ht="11.25" customHeight="1" thickTop="1" thickBot="1" x14ac:dyDescent="0.25">
      <c r="A5" s="170"/>
      <c r="B5" s="259" t="s">
        <v>41</v>
      </c>
      <c r="C5" s="259"/>
      <c r="D5" s="259">
        <v>0</v>
      </c>
      <c r="E5" s="259">
        <v>0</v>
      </c>
      <c r="F5" s="259">
        <v>0</v>
      </c>
      <c r="G5" s="259">
        <v>0</v>
      </c>
      <c r="H5" s="260">
        <v>0</v>
      </c>
    </row>
    <row r="6" spans="1:10" customFormat="1" ht="11.25" customHeight="1" thickTop="1" thickBot="1" x14ac:dyDescent="0.25">
      <c r="A6" s="169"/>
      <c r="B6" s="261" t="s">
        <v>42</v>
      </c>
      <c r="C6" s="262"/>
      <c r="D6" s="262">
        <v>0</v>
      </c>
      <c r="E6" s="262">
        <v>0</v>
      </c>
      <c r="F6" s="262">
        <v>0</v>
      </c>
      <c r="G6" s="262">
        <v>0</v>
      </c>
      <c r="H6" s="263">
        <v>0</v>
      </c>
    </row>
    <row r="7" spans="1:10" ht="14.25" customHeight="1" thickTop="1" thickBot="1" x14ac:dyDescent="0.25">
      <c r="A7" s="264" t="s">
        <v>514</v>
      </c>
      <c r="B7" s="265"/>
      <c r="C7" s="265"/>
      <c r="D7" s="265"/>
      <c r="E7" s="265"/>
      <c r="F7" s="265"/>
      <c r="G7" s="265"/>
      <c r="H7" s="265"/>
    </row>
    <row r="8" spans="1:10" s="164" customFormat="1" ht="67.900000000000006" customHeight="1" thickTop="1" thickBot="1" x14ac:dyDescent="0.25">
      <c r="A8" s="168" t="s">
        <v>515</v>
      </c>
      <c r="B8" s="146"/>
      <c r="C8" s="145" t="s">
        <v>516</v>
      </c>
      <c r="D8" s="82">
        <v>2400</v>
      </c>
      <c r="E8" s="78">
        <v>14</v>
      </c>
      <c r="F8" s="78">
        <v>16.100000000000001</v>
      </c>
      <c r="G8" s="89">
        <v>17.5</v>
      </c>
      <c r="H8" s="37" t="s">
        <v>53</v>
      </c>
      <c r="I8"/>
    </row>
    <row r="9" spans="1:10" s="164" customFormat="1" ht="62.25" customHeight="1" thickTop="1" thickBot="1" x14ac:dyDescent="0.25">
      <c r="A9" s="168" t="s">
        <v>517</v>
      </c>
      <c r="B9" s="146"/>
      <c r="C9" s="145" t="s">
        <v>518</v>
      </c>
      <c r="D9" s="82">
        <v>1000</v>
      </c>
      <c r="E9" s="78">
        <v>37.700000000000003</v>
      </c>
      <c r="F9" s="78">
        <v>42.3</v>
      </c>
      <c r="G9" s="89">
        <v>46.9</v>
      </c>
      <c r="H9" s="37" t="s">
        <v>53</v>
      </c>
      <c r="I9"/>
    </row>
    <row r="10" spans="1:10" s="164" customFormat="1" ht="106.15" customHeight="1" thickTop="1" thickBot="1" x14ac:dyDescent="0.25">
      <c r="A10" s="167" t="s">
        <v>519</v>
      </c>
      <c r="B10" s="146"/>
      <c r="C10" s="145" t="s">
        <v>520</v>
      </c>
      <c r="D10" s="82">
        <v>250</v>
      </c>
      <c r="E10" s="78">
        <v>193.4</v>
      </c>
      <c r="F10" s="78">
        <v>211.2</v>
      </c>
      <c r="G10" s="89">
        <v>234.6</v>
      </c>
      <c r="H10" s="37" t="s">
        <v>53</v>
      </c>
      <c r="I10"/>
    </row>
    <row r="11" spans="1:10" s="164" customFormat="1" ht="87" customHeight="1" thickTop="1" thickBot="1" x14ac:dyDescent="0.25">
      <c r="A11" s="167" t="s">
        <v>521</v>
      </c>
      <c r="B11" s="161"/>
      <c r="C11" s="39" t="s">
        <v>522</v>
      </c>
      <c r="D11" s="82">
        <v>500</v>
      </c>
      <c r="E11" s="78">
        <v>122.5</v>
      </c>
      <c r="F11" s="78">
        <v>131.30000000000001</v>
      </c>
      <c r="G11" s="89">
        <v>144.4</v>
      </c>
      <c r="H11" s="37" t="s">
        <v>53</v>
      </c>
      <c r="I11"/>
    </row>
    <row r="12" spans="1:10" s="164" customFormat="1" ht="76.7" customHeight="1" thickTop="1" thickBot="1" x14ac:dyDescent="0.25">
      <c r="A12" s="38" t="s">
        <v>523</v>
      </c>
      <c r="B12" s="161"/>
      <c r="C12" s="39" t="s">
        <v>524</v>
      </c>
      <c r="D12" s="82">
        <v>2000</v>
      </c>
      <c r="E12" s="78">
        <v>77.599999999999994</v>
      </c>
      <c r="F12" s="78">
        <v>85.6</v>
      </c>
      <c r="G12" s="89">
        <v>96.9</v>
      </c>
      <c r="H12" s="37" t="s">
        <v>53</v>
      </c>
      <c r="I12"/>
      <c r="J12" s="166"/>
    </row>
    <row r="13" spans="1:10" s="164" customFormat="1" ht="90.75" customHeight="1" thickTop="1" thickBot="1" x14ac:dyDescent="0.25">
      <c r="A13" s="38" t="s">
        <v>1394</v>
      </c>
      <c r="B13" s="146"/>
      <c r="C13" s="145" t="s">
        <v>525</v>
      </c>
      <c r="D13" s="82">
        <v>2000</v>
      </c>
      <c r="E13" s="78">
        <v>203.8</v>
      </c>
      <c r="F13" s="78">
        <v>224.4</v>
      </c>
      <c r="G13" s="89">
        <v>248.4</v>
      </c>
      <c r="H13" s="37" t="s">
        <v>53</v>
      </c>
      <c r="I13"/>
    </row>
    <row r="14" spans="1:10" s="164" customFormat="1" ht="92.1" customHeight="1" thickTop="1" thickBot="1" x14ac:dyDescent="0.25">
      <c r="A14" s="38" t="s">
        <v>526</v>
      </c>
      <c r="B14" s="146"/>
      <c r="C14" s="145" t="s">
        <v>527</v>
      </c>
      <c r="D14" s="82">
        <v>1500</v>
      </c>
      <c r="E14" s="41">
        <v>34.5</v>
      </c>
      <c r="F14" s="41">
        <v>37</v>
      </c>
      <c r="G14" s="42">
        <v>40.799999999999997</v>
      </c>
      <c r="H14" s="37" t="s">
        <v>53</v>
      </c>
      <c r="I14"/>
    </row>
    <row r="15" spans="1:10" s="164" customFormat="1" ht="80.650000000000006" customHeight="1" thickTop="1" thickBot="1" x14ac:dyDescent="0.25">
      <c r="A15" s="38" t="s">
        <v>528</v>
      </c>
      <c r="B15" s="146"/>
      <c r="C15" s="145" t="s">
        <v>529</v>
      </c>
      <c r="D15" s="82">
        <v>800</v>
      </c>
      <c r="E15" s="78">
        <v>28.7</v>
      </c>
      <c r="F15" s="78">
        <v>30.8</v>
      </c>
      <c r="G15" s="89">
        <v>34.4</v>
      </c>
      <c r="H15" s="37" t="s">
        <v>53</v>
      </c>
      <c r="I15"/>
    </row>
    <row r="16" spans="1:10" s="164" customFormat="1" ht="67.900000000000006" customHeight="1" thickTop="1" thickBot="1" x14ac:dyDescent="0.25">
      <c r="A16" s="38" t="s">
        <v>530</v>
      </c>
      <c r="B16" s="146"/>
      <c r="C16" s="145" t="s">
        <v>531</v>
      </c>
      <c r="D16" s="82">
        <v>700</v>
      </c>
      <c r="E16" s="78">
        <v>28.7</v>
      </c>
      <c r="F16" s="78">
        <v>30.8</v>
      </c>
      <c r="G16" s="89">
        <v>34.4</v>
      </c>
      <c r="H16" s="37" t="s">
        <v>53</v>
      </c>
      <c r="I16"/>
    </row>
    <row r="17" spans="1:11" s="164" customFormat="1" ht="111.6" customHeight="1" thickTop="1" thickBot="1" x14ac:dyDescent="0.25">
      <c r="A17" s="38" t="s">
        <v>532</v>
      </c>
      <c r="B17" s="146"/>
      <c r="C17" s="145" t="s">
        <v>533</v>
      </c>
      <c r="D17" s="82">
        <v>1000</v>
      </c>
      <c r="E17" s="78">
        <v>186.8</v>
      </c>
      <c r="F17" s="78">
        <v>205</v>
      </c>
      <c r="G17" s="89">
        <v>226.7</v>
      </c>
      <c r="H17" s="37" t="s">
        <v>53</v>
      </c>
      <c r="I17"/>
    </row>
    <row r="18" spans="1:11" s="164" customFormat="1" ht="111.6" customHeight="1" thickTop="1" thickBot="1" x14ac:dyDescent="0.25">
      <c r="A18" s="128" t="s">
        <v>1393</v>
      </c>
      <c r="B18" s="154"/>
      <c r="C18" s="39" t="s">
        <v>534</v>
      </c>
      <c r="D18" s="90">
        <v>1000</v>
      </c>
      <c r="E18" s="84">
        <v>80.900000000000006</v>
      </c>
      <c r="F18" s="84">
        <v>80.900000000000006</v>
      </c>
      <c r="G18" s="91">
        <v>90.7</v>
      </c>
      <c r="H18" s="37" t="s">
        <v>53</v>
      </c>
      <c r="I18"/>
      <c r="J18" s="166"/>
      <c r="K18" s="166"/>
    </row>
    <row r="19" spans="1:11" s="164" customFormat="1" ht="100.5" customHeight="1" thickTop="1" thickBot="1" x14ac:dyDescent="0.25">
      <c r="A19" s="165" t="s">
        <v>1392</v>
      </c>
      <c r="B19" s="153"/>
      <c r="C19" s="50" t="s">
        <v>535</v>
      </c>
      <c r="D19" s="92">
        <v>2000</v>
      </c>
      <c r="E19" s="93">
        <v>163.80000000000001</v>
      </c>
      <c r="F19" s="93">
        <v>180.8</v>
      </c>
      <c r="G19" s="94">
        <v>200.5</v>
      </c>
      <c r="H19" s="54" t="s">
        <v>53</v>
      </c>
      <c r="I19"/>
    </row>
    <row r="20" spans="1:11" ht="13.5" thickTop="1" x14ac:dyDescent="0.2">
      <c r="A20" s="163"/>
      <c r="B20" s="163"/>
      <c r="C20" s="152"/>
      <c r="D20" s="57"/>
      <c r="E20" s="58"/>
      <c r="F20" s="58"/>
      <c r="G20" s="58"/>
      <c r="H20" s="59"/>
    </row>
    <row r="21" spans="1:11" x14ac:dyDescent="0.2">
      <c r="A21" s="163"/>
      <c r="B21" s="163"/>
      <c r="C21" s="56"/>
      <c r="D21" s="57"/>
      <c r="E21" s="58"/>
      <c r="F21" s="58"/>
      <c r="G21" s="58"/>
      <c r="H21" s="59"/>
    </row>
    <row r="22" spans="1:11" x14ac:dyDescent="0.2">
      <c r="A22" s="163"/>
      <c r="B22" s="163"/>
      <c r="C22" s="56"/>
      <c r="D22" s="57"/>
      <c r="E22" s="58"/>
      <c r="F22" s="58"/>
      <c r="G22" s="58"/>
      <c r="H22" s="59"/>
    </row>
    <row r="23" spans="1:11" x14ac:dyDescent="0.2">
      <c r="C23" s="56"/>
      <c r="D23" s="57"/>
      <c r="E23" s="58"/>
      <c r="F23" s="58"/>
      <c r="G23" s="58"/>
      <c r="H23" s="59"/>
    </row>
    <row r="24" spans="1:11" x14ac:dyDescent="0.2">
      <c r="C24" s="56"/>
      <c r="D24" s="57"/>
      <c r="E24" s="58"/>
      <c r="F24" s="58"/>
      <c r="G24" s="58"/>
      <c r="H24" s="59"/>
    </row>
    <row r="25" spans="1:11" x14ac:dyDescent="0.2">
      <c r="C25" s="56"/>
      <c r="D25" s="57"/>
      <c r="E25" s="58"/>
      <c r="F25" s="58"/>
      <c r="G25" s="58"/>
      <c r="H25" s="59"/>
    </row>
    <row r="26" spans="1:11" x14ac:dyDescent="0.2">
      <c r="D26" s="57"/>
      <c r="E26" s="58"/>
      <c r="F26" s="58"/>
      <c r="G26" s="58"/>
      <c r="H26" s="59"/>
    </row>
    <row r="27" spans="1:11" x14ac:dyDescent="0.2">
      <c r="D27" s="57"/>
      <c r="E27" s="58"/>
      <c r="F27" s="58"/>
      <c r="G27" s="58"/>
      <c r="H27" s="59"/>
    </row>
    <row r="28" spans="1:11" x14ac:dyDescent="0.2">
      <c r="D28" s="57"/>
      <c r="E28" s="58"/>
      <c r="F28" s="58"/>
      <c r="G28" s="58"/>
      <c r="H28" s="59"/>
    </row>
    <row r="29" spans="1:11" x14ac:dyDescent="0.2">
      <c r="D29" s="57"/>
      <c r="E29" s="58"/>
      <c r="F29" s="58"/>
      <c r="G29" s="58"/>
      <c r="H29" s="59"/>
    </row>
    <row r="30" spans="1:11" x14ac:dyDescent="0.2">
      <c r="D30" s="57"/>
      <c r="E30" s="58"/>
      <c r="F30" s="58"/>
      <c r="G30" s="58"/>
      <c r="H30" s="59"/>
    </row>
    <row r="31" spans="1:11" x14ac:dyDescent="0.2">
      <c r="D31" s="57"/>
      <c r="E31" s="58"/>
      <c r="F31" s="58"/>
      <c r="G31" s="58"/>
      <c r="H31" s="59"/>
    </row>
    <row r="32" spans="1:11" x14ac:dyDescent="0.2">
      <c r="D32" s="57"/>
      <c r="E32" s="58"/>
      <c r="F32" s="58"/>
      <c r="G32" s="58"/>
      <c r="H32" s="59"/>
    </row>
    <row r="33" spans="4:8" x14ac:dyDescent="0.2">
      <c r="D33" s="57"/>
      <c r="E33" s="58"/>
      <c r="F33" s="58"/>
      <c r="G33" s="58"/>
      <c r="H33" s="59"/>
    </row>
    <row r="34" spans="4:8" x14ac:dyDescent="0.2">
      <c r="D34" s="57"/>
      <c r="E34" s="58"/>
      <c r="F34" s="58"/>
      <c r="G34" s="58"/>
      <c r="H34" s="59"/>
    </row>
    <row r="35" spans="4:8" x14ac:dyDescent="0.2">
      <c r="D35" s="57"/>
      <c r="E35" s="58"/>
      <c r="F35" s="58"/>
      <c r="G35" s="58"/>
      <c r="H35" s="59"/>
    </row>
    <row r="36" spans="4:8" x14ac:dyDescent="0.2">
      <c r="D36" s="57"/>
      <c r="E36" s="58"/>
      <c r="F36" s="58"/>
      <c r="G36" s="58"/>
      <c r="H36" s="59"/>
    </row>
    <row r="37" spans="4:8" x14ac:dyDescent="0.2">
      <c r="D37" s="57"/>
      <c r="E37" s="58"/>
      <c r="F37" s="58"/>
      <c r="G37" s="58"/>
      <c r="H37" s="59"/>
    </row>
    <row r="38" spans="4:8" x14ac:dyDescent="0.2">
      <c r="D38" s="57"/>
      <c r="E38" s="58"/>
      <c r="F38" s="58"/>
      <c r="G38" s="58"/>
      <c r="H38" s="59"/>
    </row>
    <row r="39" spans="4:8" x14ac:dyDescent="0.2">
      <c r="D39" s="57"/>
      <c r="E39" s="58"/>
      <c r="F39" s="58"/>
      <c r="G39" s="58"/>
      <c r="H39" s="59"/>
    </row>
    <row r="40" spans="4:8" x14ac:dyDescent="0.2">
      <c r="D40" s="57"/>
      <c r="E40" s="58"/>
      <c r="F40" s="58"/>
      <c r="G40" s="58"/>
      <c r="H40" s="59"/>
    </row>
    <row r="41" spans="4:8" x14ac:dyDescent="0.2">
      <c r="D41" s="57"/>
      <c r="E41" s="58"/>
      <c r="F41" s="58"/>
      <c r="G41" s="58"/>
      <c r="H41" s="59"/>
    </row>
    <row r="42" spans="4:8" x14ac:dyDescent="0.2">
      <c r="D42" s="57"/>
      <c r="E42" s="58"/>
      <c r="F42" s="58"/>
      <c r="G42" s="58"/>
      <c r="H42" s="59"/>
    </row>
    <row r="43" spans="4:8" x14ac:dyDescent="0.2">
      <c r="D43" s="57"/>
      <c r="E43" s="58"/>
      <c r="F43" s="58"/>
      <c r="G43" s="58"/>
      <c r="H43" s="59"/>
    </row>
    <row r="44" spans="4:8" x14ac:dyDescent="0.2">
      <c r="D44" s="57"/>
      <c r="E44" s="58"/>
      <c r="F44" s="58"/>
      <c r="G44" s="58"/>
      <c r="H44" s="59"/>
    </row>
    <row r="45" spans="4:8" x14ac:dyDescent="0.2">
      <c r="D45" s="57"/>
      <c r="E45" s="58"/>
      <c r="F45" s="58"/>
      <c r="G45" s="58"/>
      <c r="H45" s="59"/>
    </row>
    <row r="46" spans="4:8" x14ac:dyDescent="0.2">
      <c r="D46" s="57"/>
      <c r="E46" s="58"/>
      <c r="F46" s="58"/>
      <c r="G46" s="58"/>
      <c r="H46" s="59"/>
    </row>
    <row r="47" spans="4:8" x14ac:dyDescent="0.2">
      <c r="D47" s="57"/>
      <c r="E47" s="58"/>
      <c r="F47" s="58"/>
      <c r="G47" s="58"/>
      <c r="H47" s="59"/>
    </row>
    <row r="48" spans="4:8" x14ac:dyDescent="0.2">
      <c r="D48" s="57"/>
      <c r="E48" s="58"/>
      <c r="F48" s="58"/>
      <c r="G48" s="58"/>
      <c r="H48" s="59"/>
    </row>
    <row r="49" spans="4:8" x14ac:dyDescent="0.2">
      <c r="D49" s="57"/>
      <c r="E49" s="58"/>
      <c r="F49" s="58"/>
      <c r="G49" s="58"/>
      <c r="H49" s="59"/>
    </row>
    <row r="50" spans="4:8" x14ac:dyDescent="0.2">
      <c r="D50" s="57"/>
      <c r="E50" s="58"/>
      <c r="F50" s="58"/>
      <c r="G50" s="58"/>
      <c r="H50" s="59"/>
    </row>
    <row r="51" spans="4:8" x14ac:dyDescent="0.2">
      <c r="D51" s="57"/>
      <c r="E51" s="58"/>
      <c r="F51" s="58"/>
      <c r="G51" s="58"/>
      <c r="H51" s="59"/>
    </row>
    <row r="52" spans="4:8" x14ac:dyDescent="0.2">
      <c r="D52" s="57"/>
      <c r="E52" s="58"/>
      <c r="F52" s="58"/>
      <c r="G52" s="58"/>
      <c r="H52" s="59"/>
    </row>
    <row r="53" spans="4:8" x14ac:dyDescent="0.2">
      <c r="D53" s="57"/>
      <c r="E53" s="58"/>
      <c r="F53" s="58"/>
      <c r="G53" s="58"/>
      <c r="H53" s="59"/>
    </row>
    <row r="54" spans="4:8" x14ac:dyDescent="0.2">
      <c r="D54" s="57"/>
      <c r="E54" s="58"/>
      <c r="F54" s="58"/>
      <c r="G54" s="58"/>
      <c r="H54" s="59"/>
    </row>
    <row r="55" spans="4:8" x14ac:dyDescent="0.2">
      <c r="D55" s="57"/>
      <c r="E55" s="58"/>
      <c r="F55" s="58"/>
      <c r="G55" s="58"/>
      <c r="H55" s="59"/>
    </row>
    <row r="56" spans="4:8" x14ac:dyDescent="0.2">
      <c r="D56" s="57"/>
      <c r="E56" s="58"/>
      <c r="F56" s="58"/>
      <c r="G56" s="58"/>
      <c r="H56" s="59"/>
    </row>
    <row r="57" spans="4:8" x14ac:dyDescent="0.2">
      <c r="D57" s="57"/>
      <c r="E57" s="58"/>
      <c r="F57" s="58"/>
      <c r="G57" s="58"/>
      <c r="H57" s="59"/>
    </row>
    <row r="58" spans="4:8" x14ac:dyDescent="0.2">
      <c r="D58" s="57"/>
      <c r="E58" s="58"/>
      <c r="F58" s="58"/>
      <c r="G58" s="58"/>
      <c r="H58" s="59"/>
    </row>
    <row r="59" spans="4:8" x14ac:dyDescent="0.2">
      <c r="D59" s="57"/>
      <c r="E59" s="58"/>
      <c r="F59" s="58"/>
      <c r="G59" s="58"/>
      <c r="H59" s="59"/>
    </row>
    <row r="60" spans="4:8" x14ac:dyDescent="0.2">
      <c r="D60" s="57"/>
      <c r="E60" s="58"/>
      <c r="F60" s="58"/>
      <c r="G60" s="58"/>
      <c r="H60" s="59"/>
    </row>
    <row r="61" spans="4:8" x14ac:dyDescent="0.2">
      <c r="D61" s="57"/>
      <c r="E61" s="58"/>
      <c r="F61" s="58"/>
      <c r="G61" s="58"/>
      <c r="H61" s="59"/>
    </row>
    <row r="62" spans="4:8" x14ac:dyDescent="0.2">
      <c r="D62" s="57"/>
      <c r="E62" s="58"/>
      <c r="F62" s="58"/>
      <c r="G62" s="58"/>
      <c r="H62" s="59"/>
    </row>
    <row r="63" spans="4:8" x14ac:dyDescent="0.2">
      <c r="D63" s="57"/>
      <c r="E63" s="58"/>
      <c r="F63" s="58"/>
      <c r="G63" s="58"/>
      <c r="H63" s="59"/>
    </row>
    <row r="64" spans="4:8" x14ac:dyDescent="0.2">
      <c r="D64" s="57"/>
      <c r="E64" s="58"/>
      <c r="F64" s="58"/>
      <c r="G64" s="58"/>
      <c r="H64" s="59"/>
    </row>
  </sheetData>
  <mergeCells count="11">
    <mergeCell ref="B4:H4"/>
    <mergeCell ref="B5:H5"/>
    <mergeCell ref="B6:H6"/>
    <mergeCell ref="A7:H7"/>
    <mergeCell ref="A1:B1"/>
    <mergeCell ref="A2:A3"/>
    <mergeCell ref="C2:C3"/>
    <mergeCell ref="D2:D3"/>
    <mergeCell ref="H2:H3"/>
    <mergeCell ref="E2:F2"/>
    <mergeCell ref="G2:G3"/>
  </mergeCells>
  <conditionalFormatting sqref="C1">
    <cfRule type="cellIs" dxfId="198" priority="6" stopIfTrue="1" operator="equal">
      <formula>0</formula>
    </cfRule>
  </conditionalFormatting>
  <conditionalFormatting sqref="D12:D19 D8:D9 D1:D3">
    <cfRule type="cellIs" dxfId="197" priority="5" stopIfTrue="1" operator="equal">
      <formula>0</formula>
    </cfRule>
  </conditionalFormatting>
  <conditionalFormatting sqref="D10">
    <cfRule type="cellIs" dxfId="196" priority="4" stopIfTrue="1" operator="equal">
      <formula>0</formula>
    </cfRule>
  </conditionalFormatting>
  <conditionalFormatting sqref="D7">
    <cfRule type="cellIs" dxfId="195" priority="3" stopIfTrue="1" operator="equal">
      <formula>0</formula>
    </cfRule>
  </conditionalFormatting>
  <conditionalFormatting sqref="D11">
    <cfRule type="cellIs" dxfId="194" priority="2" stopIfTrue="1" operator="equal">
      <formula>0</formula>
    </cfRule>
  </conditionalFormatting>
  <conditionalFormatting sqref="D20:D64">
    <cfRule type="cellIs" dxfId="193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2" fitToHeight="5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96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7.25" customHeight="1" x14ac:dyDescent="0.2"/>
  <cols>
    <col min="1" max="1" width="21.85546875" customWidth="1"/>
    <col min="2" max="2" width="83.5703125" customWidth="1"/>
    <col min="3" max="3" width="10.85546875" customWidth="1"/>
    <col min="4" max="4" width="9.42578125" customWidth="1"/>
    <col min="5" max="6" width="10.85546875" customWidth="1"/>
    <col min="7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22.7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7.2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7.2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7.25" customHeight="1" thickTop="1" thickBot="1" x14ac:dyDescent="0.25">
      <c r="A7" s="232" t="s">
        <v>536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60" t="s">
        <v>44</v>
      </c>
    </row>
    <row r="8" spans="1:8" ht="17.25" customHeight="1" thickTop="1" thickBot="1" x14ac:dyDescent="0.25">
      <c r="A8" s="221" t="s">
        <v>537</v>
      </c>
      <c r="B8" s="222">
        <v>0</v>
      </c>
      <c r="C8" s="222">
        <v>0</v>
      </c>
      <c r="D8" s="222" t="e">
        <v>#REF!</v>
      </c>
      <c r="E8" s="222">
        <v>0</v>
      </c>
      <c r="F8" s="222">
        <v>0</v>
      </c>
      <c r="G8" s="223">
        <v>0</v>
      </c>
      <c r="H8" s="37" t="s">
        <v>44</v>
      </c>
    </row>
    <row r="9" spans="1:8" ht="17.25" customHeight="1" thickTop="1" thickBot="1" x14ac:dyDescent="0.25">
      <c r="A9" s="38" t="s">
        <v>538</v>
      </c>
      <c r="B9" s="39" t="s">
        <v>539</v>
      </c>
      <c r="C9" s="40" t="s">
        <v>129</v>
      </c>
      <c r="D9" s="40">
        <v>100</v>
      </c>
      <c r="E9" s="41">
        <v>553.1</v>
      </c>
      <c r="F9" s="41">
        <v>635.70000000000005</v>
      </c>
      <c r="G9" s="42">
        <v>699.6</v>
      </c>
      <c r="H9" s="37" t="s">
        <v>53</v>
      </c>
    </row>
    <row r="10" spans="1:8" ht="17.25" customHeight="1" thickTop="1" thickBot="1" x14ac:dyDescent="0.25">
      <c r="A10" s="38" t="s">
        <v>540</v>
      </c>
      <c r="B10" s="39" t="s">
        <v>541</v>
      </c>
      <c r="C10" s="40" t="s">
        <v>129</v>
      </c>
      <c r="D10" s="40">
        <v>20</v>
      </c>
      <c r="E10" s="41">
        <v>553.1</v>
      </c>
      <c r="F10" s="41">
        <v>635.70000000000005</v>
      </c>
      <c r="G10" s="42">
        <v>699.6</v>
      </c>
      <c r="H10" s="37" t="s">
        <v>53</v>
      </c>
    </row>
    <row r="11" spans="1:8" ht="17.25" customHeight="1" thickTop="1" thickBot="1" x14ac:dyDescent="0.25">
      <c r="A11" s="38" t="s">
        <v>542</v>
      </c>
      <c r="B11" s="39" t="s">
        <v>543</v>
      </c>
      <c r="C11" s="40" t="s">
        <v>129</v>
      </c>
      <c r="D11" s="40">
        <v>20</v>
      </c>
      <c r="E11" s="41">
        <v>553.1</v>
      </c>
      <c r="F11" s="41">
        <v>635.70000000000005</v>
      </c>
      <c r="G11" s="42">
        <v>699.6</v>
      </c>
      <c r="H11" s="37" t="s">
        <v>53</v>
      </c>
    </row>
    <row r="12" spans="1:8" ht="17.25" customHeight="1" thickTop="1" thickBot="1" x14ac:dyDescent="0.25">
      <c r="A12" s="38" t="s">
        <v>544</v>
      </c>
      <c r="B12" s="39" t="s">
        <v>545</v>
      </c>
      <c r="C12" s="40" t="s">
        <v>129</v>
      </c>
      <c r="D12" s="40">
        <v>10</v>
      </c>
      <c r="E12" s="41">
        <v>553.1</v>
      </c>
      <c r="F12" s="41">
        <v>635.70000000000005</v>
      </c>
      <c r="G12" s="42">
        <v>699.6</v>
      </c>
      <c r="H12" s="37" t="s">
        <v>53</v>
      </c>
    </row>
    <row r="13" spans="1:8" ht="17.25" customHeight="1" thickTop="1" thickBot="1" x14ac:dyDescent="0.25">
      <c r="A13" s="38" t="s">
        <v>546</v>
      </c>
      <c r="B13" s="39" t="s">
        <v>547</v>
      </c>
      <c r="C13" s="40" t="s">
        <v>129</v>
      </c>
      <c r="D13" s="40">
        <v>100</v>
      </c>
      <c r="E13" s="41">
        <v>391.6</v>
      </c>
      <c r="F13" s="41">
        <v>470.6</v>
      </c>
      <c r="G13" s="42">
        <v>517.70000000000005</v>
      </c>
      <c r="H13" s="37" t="s">
        <v>53</v>
      </c>
    </row>
    <row r="14" spans="1:8" ht="17.25" customHeight="1" thickTop="1" thickBot="1" x14ac:dyDescent="0.25">
      <c r="A14" s="38" t="s">
        <v>548</v>
      </c>
      <c r="B14" s="39" t="s">
        <v>549</v>
      </c>
      <c r="C14" s="40" t="s">
        <v>129</v>
      </c>
      <c r="D14" s="40">
        <v>100</v>
      </c>
      <c r="E14" s="41">
        <v>391.6</v>
      </c>
      <c r="F14" s="41">
        <v>470.6</v>
      </c>
      <c r="G14" s="42">
        <v>517.70000000000005</v>
      </c>
      <c r="H14" s="37" t="s">
        <v>53</v>
      </c>
    </row>
    <row r="15" spans="1:8" ht="17.25" customHeight="1" thickTop="1" thickBot="1" x14ac:dyDescent="0.25">
      <c r="A15" s="38" t="s">
        <v>550</v>
      </c>
      <c r="B15" s="39" t="s">
        <v>551</v>
      </c>
      <c r="C15" s="40" t="s">
        <v>129</v>
      </c>
      <c r="D15" s="40">
        <v>100</v>
      </c>
      <c r="E15" s="41">
        <v>391.6</v>
      </c>
      <c r="F15" s="41">
        <v>470.6</v>
      </c>
      <c r="G15" s="42">
        <v>517.70000000000005</v>
      </c>
      <c r="H15" s="37" t="s">
        <v>53</v>
      </c>
    </row>
    <row r="16" spans="1:8" ht="17.25" customHeight="1" thickTop="1" thickBot="1" x14ac:dyDescent="0.25">
      <c r="A16" s="38" t="s">
        <v>552</v>
      </c>
      <c r="B16" s="39" t="s">
        <v>553</v>
      </c>
      <c r="C16" s="40" t="s">
        <v>129</v>
      </c>
      <c r="D16" s="40">
        <v>10</v>
      </c>
      <c r="E16" s="41">
        <v>391.6</v>
      </c>
      <c r="F16" s="41">
        <v>470.6</v>
      </c>
      <c r="G16" s="42">
        <v>517.70000000000005</v>
      </c>
      <c r="H16" s="37" t="s">
        <v>53</v>
      </c>
    </row>
    <row r="17" spans="1:8" ht="17.25" customHeight="1" thickTop="1" thickBot="1" x14ac:dyDescent="0.25">
      <c r="A17" s="38" t="s">
        <v>554</v>
      </c>
      <c r="B17" s="39" t="s">
        <v>555</v>
      </c>
      <c r="C17" s="40" t="s">
        <v>129</v>
      </c>
      <c r="D17" s="40">
        <v>20</v>
      </c>
      <c r="E17" s="41">
        <v>391.6</v>
      </c>
      <c r="F17" s="41">
        <v>470.6</v>
      </c>
      <c r="G17" s="42">
        <v>517.70000000000005</v>
      </c>
      <c r="H17" s="37" t="s">
        <v>53</v>
      </c>
    </row>
    <row r="18" spans="1:8" ht="17.25" customHeight="1" thickTop="1" thickBot="1" x14ac:dyDescent="0.25">
      <c r="A18" s="38" t="s">
        <v>556</v>
      </c>
      <c r="B18" s="39" t="s">
        <v>557</v>
      </c>
      <c r="C18" s="40" t="s">
        <v>129</v>
      </c>
      <c r="D18" s="40">
        <v>20</v>
      </c>
      <c r="E18" s="41">
        <v>391.6</v>
      </c>
      <c r="F18" s="41">
        <v>470.6</v>
      </c>
      <c r="G18" s="42">
        <v>517.70000000000005</v>
      </c>
      <c r="H18" s="37" t="s">
        <v>53</v>
      </c>
    </row>
    <row r="19" spans="1:8" ht="17.25" customHeight="1" thickTop="1" thickBot="1" x14ac:dyDescent="0.25">
      <c r="A19" s="38" t="s">
        <v>558</v>
      </c>
      <c r="B19" s="39" t="s">
        <v>559</v>
      </c>
      <c r="C19" s="40" t="s">
        <v>129</v>
      </c>
      <c r="D19" s="40">
        <v>20</v>
      </c>
      <c r="E19" s="41">
        <v>391.6</v>
      </c>
      <c r="F19" s="41">
        <v>470.6</v>
      </c>
      <c r="G19" s="42">
        <v>517.70000000000005</v>
      </c>
      <c r="H19" s="37" t="s">
        <v>53</v>
      </c>
    </row>
    <row r="20" spans="1:8" ht="17.25" customHeight="1" thickTop="1" thickBot="1" x14ac:dyDescent="0.25">
      <c r="A20" s="38" t="s">
        <v>560</v>
      </c>
      <c r="B20" s="39" t="s">
        <v>561</v>
      </c>
      <c r="C20" s="40" t="s">
        <v>129</v>
      </c>
      <c r="D20" s="40">
        <v>20</v>
      </c>
      <c r="E20" s="41">
        <v>391.6</v>
      </c>
      <c r="F20" s="41">
        <v>470.6</v>
      </c>
      <c r="G20" s="42">
        <v>517.70000000000005</v>
      </c>
      <c r="H20" s="37" t="s">
        <v>53</v>
      </c>
    </row>
    <row r="21" spans="1:8" ht="17.25" customHeight="1" thickTop="1" thickBot="1" x14ac:dyDescent="0.25">
      <c r="A21" s="38" t="s">
        <v>562</v>
      </c>
      <c r="B21" s="39" t="s">
        <v>557</v>
      </c>
      <c r="C21" s="40" t="s">
        <v>563</v>
      </c>
      <c r="D21" s="40">
        <v>300</v>
      </c>
      <c r="E21" s="41">
        <v>526.79999999999995</v>
      </c>
      <c r="F21" s="41">
        <v>580.20000000000005</v>
      </c>
      <c r="G21" s="42">
        <v>641.29999999999995</v>
      </c>
      <c r="H21" s="37" t="s">
        <v>53</v>
      </c>
    </row>
    <row r="22" spans="1:8" ht="17.25" customHeight="1" thickTop="1" thickBot="1" x14ac:dyDescent="0.25">
      <c r="A22" s="38" t="s">
        <v>564</v>
      </c>
      <c r="B22" s="39" t="s">
        <v>565</v>
      </c>
      <c r="C22" s="40" t="s">
        <v>563</v>
      </c>
      <c r="D22" s="40">
        <v>100</v>
      </c>
      <c r="E22" s="41">
        <v>526.79999999999995</v>
      </c>
      <c r="F22" s="41">
        <v>580.20000000000005</v>
      </c>
      <c r="G22" s="42">
        <v>641.29999999999995</v>
      </c>
      <c r="H22" s="37" t="s">
        <v>53</v>
      </c>
    </row>
    <row r="23" spans="1:8" ht="17.25" customHeight="1" thickTop="1" thickBot="1" x14ac:dyDescent="0.25">
      <c r="A23" s="38" t="s">
        <v>566</v>
      </c>
      <c r="B23" s="39" t="s">
        <v>567</v>
      </c>
      <c r="C23" s="40" t="s">
        <v>563</v>
      </c>
      <c r="D23" s="40">
        <v>100</v>
      </c>
      <c r="E23" s="41">
        <v>526.79999999999995</v>
      </c>
      <c r="F23" s="41">
        <v>580.20000000000005</v>
      </c>
      <c r="G23" s="42">
        <v>641.29999999999995</v>
      </c>
      <c r="H23" s="37" t="s">
        <v>53</v>
      </c>
    </row>
    <row r="24" spans="1:8" ht="17.25" customHeight="1" thickTop="1" thickBot="1" x14ac:dyDescent="0.25">
      <c r="A24" s="38" t="s">
        <v>568</v>
      </c>
      <c r="B24" s="39" t="s">
        <v>569</v>
      </c>
      <c r="C24" s="40" t="s">
        <v>129</v>
      </c>
      <c r="D24" s="40">
        <v>100</v>
      </c>
      <c r="E24" s="41">
        <v>363</v>
      </c>
      <c r="F24" s="41">
        <v>422.6</v>
      </c>
      <c r="G24" s="42">
        <v>464.9</v>
      </c>
      <c r="H24" s="37" t="s">
        <v>53</v>
      </c>
    </row>
    <row r="25" spans="1:8" ht="17.25" customHeight="1" thickTop="1" thickBot="1" x14ac:dyDescent="0.25">
      <c r="A25" s="38" t="s">
        <v>570</v>
      </c>
      <c r="B25" s="39" t="s">
        <v>571</v>
      </c>
      <c r="C25" s="40" t="s">
        <v>129</v>
      </c>
      <c r="D25" s="40">
        <v>200</v>
      </c>
      <c r="E25" s="41">
        <v>363</v>
      </c>
      <c r="F25" s="41">
        <v>422.6</v>
      </c>
      <c r="G25" s="42">
        <v>464.9</v>
      </c>
      <c r="H25" s="37" t="s">
        <v>53</v>
      </c>
    </row>
    <row r="26" spans="1:8" ht="17.25" customHeight="1" thickTop="1" thickBot="1" x14ac:dyDescent="0.25">
      <c r="A26" s="38" t="s">
        <v>572</v>
      </c>
      <c r="B26" s="39" t="s">
        <v>573</v>
      </c>
      <c r="C26" s="40" t="s">
        <v>129</v>
      </c>
      <c r="D26" s="40">
        <v>10</v>
      </c>
      <c r="E26" s="41">
        <v>363</v>
      </c>
      <c r="F26" s="41">
        <v>422.6</v>
      </c>
      <c r="G26" s="42">
        <v>464.9</v>
      </c>
      <c r="H26" s="37" t="s">
        <v>53</v>
      </c>
    </row>
    <row r="27" spans="1:8" ht="17.25" customHeight="1" thickTop="1" thickBot="1" x14ac:dyDescent="0.25">
      <c r="A27" s="38" t="s">
        <v>574</v>
      </c>
      <c r="B27" s="39" t="s">
        <v>575</v>
      </c>
      <c r="C27" s="40" t="s">
        <v>129</v>
      </c>
      <c r="D27" s="40">
        <v>10</v>
      </c>
      <c r="E27" s="41">
        <v>363</v>
      </c>
      <c r="F27" s="41">
        <v>422.6</v>
      </c>
      <c r="G27" s="42">
        <v>464.9</v>
      </c>
      <c r="H27" s="37" t="s">
        <v>53</v>
      </c>
    </row>
    <row r="28" spans="1:8" ht="17.25" customHeight="1" thickTop="1" thickBot="1" x14ac:dyDescent="0.25">
      <c r="A28" s="38" t="s">
        <v>576</v>
      </c>
      <c r="B28" s="39" t="s">
        <v>577</v>
      </c>
      <c r="C28" s="40" t="s">
        <v>129</v>
      </c>
      <c r="D28" s="40">
        <v>10</v>
      </c>
      <c r="E28" s="41">
        <v>363</v>
      </c>
      <c r="F28" s="41">
        <v>422.6</v>
      </c>
      <c r="G28" s="42">
        <v>464.9</v>
      </c>
      <c r="H28" s="37" t="s">
        <v>53</v>
      </c>
    </row>
    <row r="29" spans="1:8" ht="17.25" customHeight="1" thickTop="1" thickBot="1" x14ac:dyDescent="0.25">
      <c r="A29" s="38" t="s">
        <v>578</v>
      </c>
      <c r="B29" s="39" t="s">
        <v>579</v>
      </c>
      <c r="C29" s="40" t="s">
        <v>129</v>
      </c>
      <c r="D29" s="40">
        <v>10</v>
      </c>
      <c r="E29" s="41">
        <v>363</v>
      </c>
      <c r="F29" s="41">
        <v>422.6</v>
      </c>
      <c r="G29" s="42">
        <v>464.9</v>
      </c>
      <c r="H29" s="37" t="s">
        <v>53</v>
      </c>
    </row>
    <row r="30" spans="1:8" ht="17.25" customHeight="1" thickTop="1" thickBot="1" x14ac:dyDescent="0.25">
      <c r="A30" s="38" t="s">
        <v>580</v>
      </c>
      <c r="B30" s="39" t="s">
        <v>581</v>
      </c>
      <c r="C30" s="40" t="s">
        <v>129</v>
      </c>
      <c r="D30" s="40">
        <v>10</v>
      </c>
      <c r="E30" s="41">
        <v>363</v>
      </c>
      <c r="F30" s="41">
        <v>422.6</v>
      </c>
      <c r="G30" s="42">
        <v>464.9</v>
      </c>
      <c r="H30" s="37" t="s">
        <v>53</v>
      </c>
    </row>
    <row r="31" spans="1:8" ht="17.25" customHeight="1" thickTop="1" thickBot="1" x14ac:dyDescent="0.25">
      <c r="A31" s="38" t="s">
        <v>582</v>
      </c>
      <c r="B31" s="39" t="s">
        <v>583</v>
      </c>
      <c r="C31" s="40" t="s">
        <v>129</v>
      </c>
      <c r="D31" s="40">
        <v>200</v>
      </c>
      <c r="E31" s="41">
        <v>363</v>
      </c>
      <c r="F31" s="41">
        <v>422.6</v>
      </c>
      <c r="G31" s="42">
        <v>464.9</v>
      </c>
      <c r="H31" s="37" t="s">
        <v>53</v>
      </c>
    </row>
    <row r="32" spans="1:8" ht="17.25" customHeight="1" thickTop="1" thickBot="1" x14ac:dyDescent="0.25">
      <c r="A32" s="38" t="s">
        <v>584</v>
      </c>
      <c r="B32" s="39" t="s">
        <v>585</v>
      </c>
      <c r="C32" s="40" t="s">
        <v>129</v>
      </c>
      <c r="D32" s="40">
        <v>10</v>
      </c>
      <c r="E32" s="41">
        <v>363</v>
      </c>
      <c r="F32" s="41">
        <v>422.6</v>
      </c>
      <c r="G32" s="42">
        <v>464.9</v>
      </c>
      <c r="H32" s="37" t="s">
        <v>53</v>
      </c>
    </row>
    <row r="33" spans="1:8" ht="17.25" customHeight="1" thickTop="1" thickBot="1" x14ac:dyDescent="0.25">
      <c r="A33" s="38" t="s">
        <v>586</v>
      </c>
      <c r="B33" s="39" t="s">
        <v>587</v>
      </c>
      <c r="C33" s="40" t="s">
        <v>129</v>
      </c>
      <c r="D33" s="40">
        <v>100</v>
      </c>
      <c r="E33" s="41">
        <v>363</v>
      </c>
      <c r="F33" s="41">
        <v>422.6</v>
      </c>
      <c r="G33" s="42">
        <v>464.9</v>
      </c>
      <c r="H33" s="37" t="s">
        <v>53</v>
      </c>
    </row>
    <row r="34" spans="1:8" ht="17.25" customHeight="1" thickTop="1" thickBot="1" x14ac:dyDescent="0.25">
      <c r="A34" s="38" t="s">
        <v>588</v>
      </c>
      <c r="B34" s="39" t="s">
        <v>589</v>
      </c>
      <c r="C34" s="40" t="s">
        <v>129</v>
      </c>
      <c r="D34" s="40">
        <v>40</v>
      </c>
      <c r="E34" s="41">
        <v>1396.4</v>
      </c>
      <c r="F34" s="41">
        <v>1676.9</v>
      </c>
      <c r="G34" s="42">
        <v>1844.6</v>
      </c>
      <c r="H34" s="37" t="s">
        <v>53</v>
      </c>
    </row>
    <row r="35" spans="1:8" ht="17.25" customHeight="1" thickTop="1" thickBot="1" x14ac:dyDescent="0.25">
      <c r="A35" s="38" t="s">
        <v>590</v>
      </c>
      <c r="B35" s="39" t="s">
        <v>591</v>
      </c>
      <c r="C35" s="40" t="s">
        <v>129</v>
      </c>
      <c r="D35" s="40">
        <v>40</v>
      </c>
      <c r="E35" s="41">
        <v>1396.4</v>
      </c>
      <c r="F35" s="41">
        <v>1676.9</v>
      </c>
      <c r="G35" s="42">
        <v>1844.6</v>
      </c>
      <c r="H35" s="37" t="s">
        <v>53</v>
      </c>
    </row>
    <row r="36" spans="1:8" ht="17.25" customHeight="1" thickTop="1" thickBot="1" x14ac:dyDescent="0.25">
      <c r="A36" s="221" t="s">
        <v>592</v>
      </c>
      <c r="B36" s="222">
        <v>0</v>
      </c>
      <c r="C36" s="222">
        <v>0</v>
      </c>
      <c r="D36" s="222" t="e">
        <v>#REF!</v>
      </c>
      <c r="E36" s="222">
        <v>0</v>
      </c>
      <c r="F36" s="222">
        <v>0</v>
      </c>
      <c r="G36" s="223">
        <v>0</v>
      </c>
      <c r="H36" s="37" t="s">
        <v>44</v>
      </c>
    </row>
    <row r="37" spans="1:8" ht="17.25" customHeight="1" thickTop="1" thickBot="1" x14ac:dyDescent="0.25">
      <c r="A37" s="38" t="s">
        <v>593</v>
      </c>
      <c r="B37" s="39" t="s">
        <v>594</v>
      </c>
      <c r="C37" s="40" t="s">
        <v>563</v>
      </c>
      <c r="D37" s="40">
        <v>180</v>
      </c>
      <c r="E37" s="41">
        <v>107</v>
      </c>
      <c r="F37" s="41">
        <v>111.8</v>
      </c>
      <c r="G37" s="42">
        <v>123</v>
      </c>
      <c r="H37" s="37" t="s">
        <v>53</v>
      </c>
    </row>
    <row r="38" spans="1:8" ht="17.25" customHeight="1" thickTop="1" thickBot="1" x14ac:dyDescent="0.25">
      <c r="A38" s="221" t="s">
        <v>595</v>
      </c>
      <c r="B38" s="222">
        <v>0</v>
      </c>
      <c r="C38" s="222">
        <v>0</v>
      </c>
      <c r="D38" s="222" t="e">
        <v>#REF!</v>
      </c>
      <c r="E38" s="222">
        <v>0</v>
      </c>
      <c r="F38" s="222">
        <v>0</v>
      </c>
      <c r="G38" s="223">
        <v>0</v>
      </c>
      <c r="H38" s="37" t="s">
        <v>44</v>
      </c>
    </row>
    <row r="39" spans="1:8" ht="17.25" customHeight="1" thickTop="1" thickBot="1" x14ac:dyDescent="0.25">
      <c r="A39" s="38" t="s">
        <v>596</v>
      </c>
      <c r="B39" s="39" t="s">
        <v>597</v>
      </c>
      <c r="C39" s="40" t="s">
        <v>129</v>
      </c>
      <c r="D39" s="40">
        <v>50</v>
      </c>
      <c r="E39" s="41">
        <v>1978.6</v>
      </c>
      <c r="F39" s="41">
        <v>2183.6</v>
      </c>
      <c r="G39" s="42">
        <v>2412.4</v>
      </c>
      <c r="H39" s="37" t="s">
        <v>53</v>
      </c>
    </row>
    <row r="40" spans="1:8" ht="17.25" customHeight="1" thickTop="1" thickBot="1" x14ac:dyDescent="0.25">
      <c r="A40" s="38" t="s">
        <v>598</v>
      </c>
      <c r="B40" s="39" t="s">
        <v>599</v>
      </c>
      <c r="C40" s="40" t="s">
        <v>129</v>
      </c>
      <c r="D40" s="40">
        <v>40</v>
      </c>
      <c r="E40" s="41">
        <v>2227</v>
      </c>
      <c r="F40" s="41">
        <v>2457.6999999999998</v>
      </c>
      <c r="G40" s="42">
        <v>2715.1</v>
      </c>
      <c r="H40" s="37" t="s">
        <v>53</v>
      </c>
    </row>
    <row r="41" spans="1:8" ht="17.25" customHeight="1" thickTop="1" thickBot="1" x14ac:dyDescent="0.25">
      <c r="A41" s="221" t="s">
        <v>600</v>
      </c>
      <c r="B41" s="222">
        <v>0</v>
      </c>
      <c r="C41" s="222">
        <v>0</v>
      </c>
      <c r="D41" s="222" t="e">
        <v>#REF!</v>
      </c>
      <c r="E41" s="222">
        <v>0</v>
      </c>
      <c r="F41" s="222">
        <v>0</v>
      </c>
      <c r="G41" s="223">
        <v>0</v>
      </c>
      <c r="H41" s="37" t="s">
        <v>44</v>
      </c>
    </row>
    <row r="42" spans="1:8" ht="17.25" customHeight="1" thickTop="1" thickBot="1" x14ac:dyDescent="0.25">
      <c r="A42" s="38" t="s">
        <v>601</v>
      </c>
      <c r="B42" s="39" t="s">
        <v>602</v>
      </c>
      <c r="C42" s="40" t="s">
        <v>129</v>
      </c>
      <c r="D42" s="40">
        <v>20</v>
      </c>
      <c r="E42" s="41">
        <v>1978.6</v>
      </c>
      <c r="F42" s="41">
        <v>2183.6</v>
      </c>
      <c r="G42" s="42">
        <v>2412.4</v>
      </c>
      <c r="H42" s="37" t="s">
        <v>53</v>
      </c>
    </row>
    <row r="43" spans="1:8" ht="17.25" customHeight="1" thickTop="1" thickBot="1" x14ac:dyDescent="0.25">
      <c r="A43" s="38" t="s">
        <v>603</v>
      </c>
      <c r="B43" s="39" t="s">
        <v>604</v>
      </c>
      <c r="C43" s="40" t="s">
        <v>129</v>
      </c>
      <c r="D43" s="40">
        <v>20</v>
      </c>
      <c r="E43" s="41">
        <v>2227</v>
      </c>
      <c r="F43" s="41">
        <v>2457.6999999999998</v>
      </c>
      <c r="G43" s="42">
        <v>2715.1</v>
      </c>
      <c r="H43" s="37" t="s">
        <v>53</v>
      </c>
    </row>
    <row r="44" spans="1:8" ht="17.25" customHeight="1" thickTop="1" thickBot="1" x14ac:dyDescent="0.25">
      <c r="A44" s="38" t="s">
        <v>605</v>
      </c>
      <c r="B44" s="39" t="s">
        <v>606</v>
      </c>
      <c r="C44" s="40" t="s">
        <v>129</v>
      </c>
      <c r="D44" s="40">
        <v>20</v>
      </c>
      <c r="E44" s="41">
        <v>1835.2</v>
      </c>
      <c r="F44" s="41">
        <v>2025.4</v>
      </c>
      <c r="G44" s="42">
        <v>2237.5</v>
      </c>
      <c r="H44" s="37" t="s">
        <v>53</v>
      </c>
    </row>
    <row r="45" spans="1:8" ht="17.25" customHeight="1" thickTop="1" thickBot="1" x14ac:dyDescent="0.25">
      <c r="A45" s="38" t="s">
        <v>607</v>
      </c>
      <c r="B45" s="39" t="s">
        <v>608</v>
      </c>
      <c r="C45" s="40" t="s">
        <v>129</v>
      </c>
      <c r="D45" s="40">
        <v>20</v>
      </c>
      <c r="E45" s="41">
        <v>2031.5</v>
      </c>
      <c r="F45" s="41">
        <v>2242</v>
      </c>
      <c r="G45" s="42">
        <v>2477</v>
      </c>
      <c r="H45" s="37" t="s">
        <v>53</v>
      </c>
    </row>
    <row r="46" spans="1:8" ht="17.25" customHeight="1" thickTop="1" thickBot="1" x14ac:dyDescent="0.25">
      <c r="A46" s="38" t="s">
        <v>609</v>
      </c>
      <c r="B46" s="39" t="s">
        <v>610</v>
      </c>
      <c r="C46" s="40" t="s">
        <v>129</v>
      </c>
      <c r="D46" s="40">
        <v>20</v>
      </c>
      <c r="E46" s="41">
        <v>2314.1999999999998</v>
      </c>
      <c r="F46" s="41">
        <v>2553.9</v>
      </c>
      <c r="G46" s="42">
        <v>2821.3</v>
      </c>
      <c r="H46" s="37" t="s">
        <v>53</v>
      </c>
    </row>
    <row r="47" spans="1:8" ht="17.25" customHeight="1" thickTop="1" thickBot="1" x14ac:dyDescent="0.25">
      <c r="A47" s="38" t="s">
        <v>611</v>
      </c>
      <c r="B47" s="39" t="s">
        <v>612</v>
      </c>
      <c r="C47" s="40" t="s">
        <v>129</v>
      </c>
      <c r="D47" s="40">
        <v>20</v>
      </c>
      <c r="E47" s="41">
        <v>3362.8</v>
      </c>
      <c r="F47" s="41">
        <v>3711.2</v>
      </c>
      <c r="G47" s="42">
        <v>4099.8</v>
      </c>
      <c r="H47" s="37" t="s">
        <v>53</v>
      </c>
    </row>
    <row r="48" spans="1:8" ht="17.25" customHeight="1" thickTop="1" thickBot="1" x14ac:dyDescent="0.25">
      <c r="A48" s="38" t="s">
        <v>613</v>
      </c>
      <c r="B48" s="39" t="s">
        <v>614</v>
      </c>
      <c r="C48" s="40" t="s">
        <v>129</v>
      </c>
      <c r="D48" s="40">
        <v>20</v>
      </c>
      <c r="E48" s="41">
        <v>1835.2</v>
      </c>
      <c r="F48" s="41">
        <v>2025.4</v>
      </c>
      <c r="G48" s="42">
        <v>2237.5</v>
      </c>
      <c r="H48" s="37" t="s">
        <v>53</v>
      </c>
    </row>
    <row r="49" spans="1:8" ht="17.25" customHeight="1" thickTop="1" thickBot="1" x14ac:dyDescent="0.25">
      <c r="A49" s="38" t="s">
        <v>615</v>
      </c>
      <c r="B49" s="39" t="s">
        <v>616</v>
      </c>
      <c r="C49" s="40" t="s">
        <v>129</v>
      </c>
      <c r="D49" s="40">
        <v>20</v>
      </c>
      <c r="E49" s="41">
        <v>2031.5</v>
      </c>
      <c r="F49" s="41">
        <v>2242</v>
      </c>
      <c r="G49" s="42">
        <v>2477</v>
      </c>
      <c r="H49" s="37" t="s">
        <v>53</v>
      </c>
    </row>
    <row r="50" spans="1:8" ht="17.25" customHeight="1" thickTop="1" thickBot="1" x14ac:dyDescent="0.25">
      <c r="A50" s="38" t="s">
        <v>617</v>
      </c>
      <c r="B50" s="39" t="s">
        <v>618</v>
      </c>
      <c r="C50" s="40" t="s">
        <v>129</v>
      </c>
      <c r="D50" s="40">
        <v>20</v>
      </c>
      <c r="E50" s="41">
        <v>2314.1999999999998</v>
      </c>
      <c r="F50" s="41">
        <v>2553.9</v>
      </c>
      <c r="G50" s="42">
        <v>2821.3</v>
      </c>
      <c r="H50" s="37" t="s">
        <v>53</v>
      </c>
    </row>
    <row r="51" spans="1:8" ht="17.25" customHeight="1" thickTop="1" thickBot="1" x14ac:dyDescent="0.25">
      <c r="A51" s="49" t="s">
        <v>619</v>
      </c>
      <c r="B51" s="95" t="s">
        <v>620</v>
      </c>
      <c r="C51" s="96" t="s">
        <v>129</v>
      </c>
      <c r="D51" s="96">
        <v>20</v>
      </c>
      <c r="E51" s="97">
        <v>3362.8</v>
      </c>
      <c r="F51" s="97">
        <v>3711.2</v>
      </c>
      <c r="G51" s="53">
        <v>4099.8</v>
      </c>
      <c r="H51" s="54" t="s">
        <v>53</v>
      </c>
    </row>
    <row r="52" spans="1:8" ht="17.25" customHeight="1" thickTop="1" x14ac:dyDescent="0.2">
      <c r="A52" s="55"/>
      <c r="B52" s="56"/>
      <c r="C52" s="57"/>
      <c r="D52" s="57"/>
      <c r="E52" s="58"/>
      <c r="F52" s="58"/>
      <c r="G52" s="58"/>
      <c r="H52" s="59"/>
    </row>
    <row r="53" spans="1:8" ht="17.25" customHeight="1" x14ac:dyDescent="0.2">
      <c r="A53" s="55"/>
      <c r="B53" s="56"/>
      <c r="C53" s="57"/>
      <c r="D53" s="57"/>
      <c r="E53" s="58"/>
      <c r="F53" s="58"/>
      <c r="G53" s="58"/>
      <c r="H53" s="59"/>
    </row>
    <row r="54" spans="1:8" ht="17.25" customHeight="1" x14ac:dyDescent="0.2">
      <c r="A54" s="55"/>
      <c r="B54" s="56"/>
      <c r="C54" s="57"/>
      <c r="D54" s="57"/>
      <c r="E54" s="58"/>
      <c r="F54" s="58"/>
      <c r="G54" s="58"/>
      <c r="H54" s="59"/>
    </row>
    <row r="55" spans="1:8" ht="17.25" customHeight="1" x14ac:dyDescent="0.2">
      <c r="A55" s="55"/>
      <c r="B55" s="56"/>
      <c r="C55" s="57"/>
      <c r="D55" s="57"/>
      <c r="E55" s="58"/>
      <c r="F55" s="58"/>
      <c r="G55" s="58"/>
      <c r="H55" s="59"/>
    </row>
    <row r="56" spans="1:8" ht="17.25" customHeight="1" x14ac:dyDescent="0.2">
      <c r="A56" s="55"/>
      <c r="B56" s="56"/>
      <c r="C56" s="57"/>
      <c r="D56" s="57"/>
      <c r="E56" s="58"/>
      <c r="F56" s="58"/>
      <c r="G56" s="58"/>
      <c r="H56" s="59"/>
    </row>
    <row r="57" spans="1:8" ht="17.25" customHeight="1" x14ac:dyDescent="0.2">
      <c r="A57" s="55"/>
      <c r="B57" s="56"/>
      <c r="C57" s="57"/>
      <c r="D57" s="57"/>
      <c r="E57" s="58"/>
      <c r="F57" s="58"/>
      <c r="G57" s="58"/>
      <c r="H57" s="59"/>
    </row>
    <row r="58" spans="1:8" ht="17.25" customHeight="1" x14ac:dyDescent="0.2">
      <c r="A58" s="55"/>
      <c r="B58" s="56"/>
      <c r="C58" s="57"/>
      <c r="D58" s="57"/>
      <c r="E58" s="58"/>
      <c r="F58" s="58"/>
      <c r="G58" s="58"/>
      <c r="H58" s="59"/>
    </row>
    <row r="59" spans="1:8" ht="17.25" customHeight="1" x14ac:dyDescent="0.2">
      <c r="A59" s="55"/>
      <c r="B59" s="56"/>
      <c r="C59" s="57"/>
      <c r="D59" s="57"/>
      <c r="E59" s="58"/>
      <c r="F59" s="58"/>
      <c r="G59" s="58"/>
      <c r="H59" s="59"/>
    </row>
    <row r="60" spans="1:8" ht="17.25" customHeight="1" x14ac:dyDescent="0.2">
      <c r="A60" s="55"/>
      <c r="B60" s="56"/>
      <c r="C60" s="57"/>
      <c r="D60" s="57"/>
      <c r="E60" s="58"/>
      <c r="F60" s="58"/>
      <c r="G60" s="58"/>
      <c r="H60" s="59"/>
    </row>
    <row r="61" spans="1:8" ht="17.25" customHeight="1" x14ac:dyDescent="0.2">
      <c r="A61" s="55"/>
      <c r="B61" s="56"/>
      <c r="C61" s="57"/>
      <c r="D61" s="57"/>
      <c r="E61" s="58"/>
      <c r="F61" s="58"/>
      <c r="G61" s="58"/>
      <c r="H61" s="59"/>
    </row>
    <row r="62" spans="1:8" ht="17.25" customHeight="1" x14ac:dyDescent="0.2">
      <c r="A62" s="55"/>
      <c r="B62" s="56"/>
      <c r="C62" s="57"/>
      <c r="D62" s="57"/>
      <c r="E62" s="58"/>
      <c r="F62" s="58"/>
      <c r="G62" s="58"/>
      <c r="H62" s="59"/>
    </row>
    <row r="63" spans="1:8" ht="17.25" customHeight="1" x14ac:dyDescent="0.2">
      <c r="A63" s="55"/>
      <c r="B63" s="56"/>
      <c r="C63" s="57"/>
      <c r="D63" s="57"/>
      <c r="E63" s="58"/>
      <c r="F63" s="58"/>
      <c r="G63" s="58"/>
      <c r="H63" s="59"/>
    </row>
    <row r="64" spans="1:8" ht="17.25" customHeight="1" x14ac:dyDescent="0.2">
      <c r="A64" s="55"/>
      <c r="B64" s="56"/>
      <c r="C64" s="57"/>
      <c r="D64" s="57"/>
      <c r="E64" s="58"/>
      <c r="F64" s="58"/>
      <c r="G64" s="58"/>
      <c r="H64" s="59"/>
    </row>
    <row r="65" spans="1:8" ht="17.25" customHeight="1" x14ac:dyDescent="0.2">
      <c r="A65" s="55"/>
      <c r="B65" s="56"/>
      <c r="C65" s="57"/>
      <c r="D65" s="57"/>
      <c r="E65" s="58"/>
      <c r="F65" s="58"/>
      <c r="G65" s="58"/>
      <c r="H65" s="59"/>
    </row>
    <row r="66" spans="1:8" ht="17.25" customHeight="1" x14ac:dyDescent="0.2">
      <c r="A66" s="55"/>
      <c r="B66" s="56"/>
      <c r="C66" s="57"/>
      <c r="D66" s="57"/>
      <c r="E66" s="58"/>
      <c r="F66" s="58"/>
      <c r="G66" s="58"/>
      <c r="H66" s="59"/>
    </row>
    <row r="67" spans="1:8" ht="17.25" customHeight="1" x14ac:dyDescent="0.2">
      <c r="A67" s="55"/>
      <c r="B67" s="56"/>
      <c r="C67" s="57"/>
      <c r="D67" s="57"/>
      <c r="E67" s="58"/>
      <c r="F67" s="58"/>
      <c r="G67" s="58"/>
      <c r="H67" s="59"/>
    </row>
    <row r="68" spans="1:8" ht="17.25" customHeight="1" x14ac:dyDescent="0.2">
      <c r="A68" s="55"/>
      <c r="B68" s="56"/>
      <c r="C68" s="57"/>
      <c r="D68" s="57"/>
      <c r="E68" s="58"/>
      <c r="F68" s="58"/>
      <c r="G68" s="58"/>
      <c r="H68" s="59"/>
    </row>
    <row r="69" spans="1:8" ht="17.25" customHeight="1" x14ac:dyDescent="0.2">
      <c r="A69" s="55"/>
      <c r="B69" s="56"/>
      <c r="C69" s="57"/>
      <c r="D69" s="57"/>
      <c r="E69" s="58"/>
      <c r="F69" s="58"/>
      <c r="G69" s="58"/>
      <c r="H69" s="59"/>
    </row>
    <row r="70" spans="1:8" ht="17.25" customHeight="1" x14ac:dyDescent="0.2">
      <c r="A70" s="55"/>
      <c r="B70" s="56"/>
      <c r="C70" s="57"/>
      <c r="D70" s="57"/>
      <c r="E70" s="58"/>
      <c r="F70" s="58"/>
      <c r="G70" s="58"/>
      <c r="H70" s="59"/>
    </row>
    <row r="71" spans="1:8" ht="17.25" customHeight="1" x14ac:dyDescent="0.2">
      <c r="A71" s="55"/>
      <c r="B71" s="56"/>
      <c r="C71" s="57"/>
      <c r="D71" s="57"/>
      <c r="E71" s="58"/>
      <c r="F71" s="58"/>
      <c r="G71" s="58"/>
      <c r="H71" s="59"/>
    </row>
    <row r="72" spans="1:8" ht="17.25" customHeight="1" x14ac:dyDescent="0.2">
      <c r="A72" s="55"/>
      <c r="B72" s="56"/>
      <c r="C72" s="57"/>
      <c r="D72" s="57"/>
      <c r="E72" s="58"/>
      <c r="F72" s="58"/>
      <c r="G72" s="58"/>
      <c r="H72" s="59"/>
    </row>
    <row r="73" spans="1:8" ht="17.25" customHeight="1" x14ac:dyDescent="0.2">
      <c r="A73" s="55"/>
      <c r="B73" s="56"/>
      <c r="C73" s="57"/>
      <c r="D73" s="57"/>
      <c r="E73" s="58"/>
      <c r="F73" s="58"/>
      <c r="G73" s="58"/>
      <c r="H73" s="59"/>
    </row>
    <row r="74" spans="1:8" ht="17.25" customHeight="1" x14ac:dyDescent="0.2">
      <c r="A74" s="55"/>
      <c r="B74" s="56"/>
      <c r="C74" s="57"/>
      <c r="D74" s="57"/>
      <c r="E74" s="58"/>
      <c r="F74" s="58"/>
      <c r="G74" s="58"/>
      <c r="H74" s="59"/>
    </row>
    <row r="75" spans="1:8" ht="17.25" customHeight="1" x14ac:dyDescent="0.2">
      <c r="A75" s="55"/>
      <c r="B75" s="56"/>
      <c r="C75" s="57"/>
      <c r="D75" s="57"/>
      <c r="E75" s="58"/>
      <c r="F75" s="58"/>
      <c r="G75" s="58"/>
      <c r="H75" s="59"/>
    </row>
    <row r="76" spans="1:8" ht="17.25" customHeight="1" x14ac:dyDescent="0.2">
      <c r="A76" s="55"/>
      <c r="B76" s="56"/>
      <c r="C76" s="57"/>
      <c r="D76" s="57"/>
      <c r="E76" s="58"/>
      <c r="F76" s="58"/>
      <c r="G76" s="58"/>
      <c r="H76" s="59"/>
    </row>
    <row r="77" spans="1:8" ht="17.25" customHeight="1" x14ac:dyDescent="0.2">
      <c r="A77" s="55"/>
      <c r="B77" s="56"/>
      <c r="C77" s="57"/>
      <c r="D77" s="57"/>
      <c r="E77" s="58"/>
      <c r="F77" s="58"/>
      <c r="G77" s="58"/>
      <c r="H77" s="59"/>
    </row>
    <row r="78" spans="1:8" ht="17.25" customHeight="1" x14ac:dyDescent="0.2">
      <c r="A78" s="55"/>
      <c r="B78" s="56"/>
      <c r="C78" s="57"/>
      <c r="D78" s="57"/>
      <c r="E78" s="58"/>
      <c r="F78" s="58"/>
      <c r="G78" s="58"/>
      <c r="H78" s="59"/>
    </row>
    <row r="79" spans="1:8" ht="17.25" customHeight="1" x14ac:dyDescent="0.2">
      <c r="A79" s="55"/>
      <c r="B79" s="56"/>
      <c r="C79" s="57"/>
      <c r="D79" s="57"/>
      <c r="E79" s="58"/>
      <c r="F79" s="58"/>
      <c r="G79" s="58"/>
      <c r="H79" s="59"/>
    </row>
    <row r="80" spans="1:8" ht="17.25" customHeight="1" x14ac:dyDescent="0.2">
      <c r="A80" s="55"/>
      <c r="B80" s="56"/>
      <c r="C80" s="57"/>
      <c r="D80" s="57"/>
      <c r="E80" s="58"/>
      <c r="F80" s="58"/>
      <c r="G80" s="58"/>
      <c r="H80" s="59"/>
    </row>
    <row r="81" spans="1:8" ht="17.25" customHeight="1" x14ac:dyDescent="0.2">
      <c r="A81" s="55"/>
      <c r="B81" s="56"/>
      <c r="C81" s="57"/>
      <c r="D81" s="57"/>
      <c r="E81" s="58"/>
      <c r="F81" s="58"/>
      <c r="G81" s="58"/>
      <c r="H81" s="59"/>
    </row>
    <row r="82" spans="1:8" ht="17.25" customHeight="1" x14ac:dyDescent="0.2">
      <c r="A82" s="55"/>
      <c r="B82" s="56"/>
      <c r="C82" s="57"/>
      <c r="D82" s="57"/>
      <c r="E82" s="58"/>
      <c r="F82" s="58"/>
      <c r="G82" s="58"/>
      <c r="H82" s="59"/>
    </row>
    <row r="83" spans="1:8" ht="17.25" customHeight="1" x14ac:dyDescent="0.2">
      <c r="A83" s="55"/>
      <c r="B83" s="56"/>
      <c r="C83" s="57"/>
      <c r="D83" s="57"/>
      <c r="E83" s="58"/>
      <c r="F83" s="58"/>
      <c r="G83" s="58"/>
      <c r="H83" s="59"/>
    </row>
    <row r="84" spans="1:8" ht="17.25" customHeight="1" x14ac:dyDescent="0.2">
      <c r="A84" s="55"/>
      <c r="B84" s="56"/>
      <c r="C84" s="57"/>
      <c r="D84" s="57"/>
      <c r="E84" s="58"/>
      <c r="F84" s="58"/>
      <c r="G84" s="58"/>
      <c r="H84" s="59"/>
    </row>
    <row r="85" spans="1:8" ht="17.25" customHeight="1" x14ac:dyDescent="0.2">
      <c r="A85" s="55"/>
      <c r="B85" s="56"/>
      <c r="C85" s="57"/>
      <c r="D85" s="57"/>
      <c r="E85" s="58"/>
      <c r="F85" s="58"/>
      <c r="G85" s="58"/>
      <c r="H85" s="59"/>
    </row>
    <row r="86" spans="1:8" ht="17.25" customHeight="1" x14ac:dyDescent="0.2">
      <c r="A86" s="55"/>
      <c r="B86" s="56"/>
      <c r="C86" s="57"/>
      <c r="D86" s="57"/>
      <c r="E86" s="58"/>
      <c r="F86" s="58"/>
      <c r="G86" s="58"/>
      <c r="H86" s="59"/>
    </row>
    <row r="87" spans="1:8" ht="17.25" customHeight="1" x14ac:dyDescent="0.2">
      <c r="A87" s="55"/>
      <c r="B87" s="56"/>
      <c r="C87" s="57"/>
      <c r="D87" s="57"/>
      <c r="E87" s="58"/>
      <c r="F87" s="58"/>
      <c r="G87" s="58"/>
      <c r="H87" s="59"/>
    </row>
    <row r="88" spans="1:8" ht="17.25" customHeight="1" x14ac:dyDescent="0.2">
      <c r="A88" s="55"/>
      <c r="B88" s="56"/>
      <c r="C88" s="57"/>
      <c r="D88" s="57"/>
      <c r="E88" s="58"/>
      <c r="F88" s="58"/>
      <c r="G88" s="58"/>
      <c r="H88" s="59"/>
    </row>
    <row r="89" spans="1:8" ht="17.25" customHeight="1" x14ac:dyDescent="0.2">
      <c r="A89" s="55"/>
      <c r="B89" s="56"/>
      <c r="C89" s="57"/>
      <c r="D89" s="57"/>
      <c r="E89" s="58"/>
      <c r="F89" s="58"/>
      <c r="G89" s="58"/>
      <c r="H89" s="59"/>
    </row>
    <row r="90" spans="1:8" ht="17.25" customHeight="1" x14ac:dyDescent="0.2">
      <c r="A90" s="55"/>
      <c r="B90" s="56"/>
      <c r="C90" s="57"/>
      <c r="D90" s="57"/>
      <c r="E90" s="58"/>
      <c r="F90" s="58"/>
      <c r="G90" s="58"/>
      <c r="H90" s="59"/>
    </row>
    <row r="91" spans="1:8" ht="17.25" customHeight="1" x14ac:dyDescent="0.2">
      <c r="A91" s="55"/>
      <c r="B91" s="56"/>
      <c r="C91" s="57"/>
      <c r="D91" s="57"/>
      <c r="E91" s="58"/>
      <c r="F91" s="58"/>
      <c r="G91" s="58"/>
      <c r="H91" s="59"/>
    </row>
    <row r="92" spans="1:8" ht="17.25" customHeight="1" x14ac:dyDescent="0.2">
      <c r="A92" s="55"/>
      <c r="B92" s="56"/>
      <c r="C92" s="57"/>
      <c r="D92" s="57"/>
      <c r="E92" s="58"/>
      <c r="F92" s="58"/>
      <c r="G92" s="58"/>
      <c r="H92" s="59"/>
    </row>
    <row r="93" spans="1:8" ht="17.25" customHeight="1" x14ac:dyDescent="0.2">
      <c r="A93" s="55"/>
      <c r="B93" s="56"/>
      <c r="C93" s="57"/>
      <c r="D93" s="57"/>
      <c r="E93" s="58"/>
      <c r="F93" s="58"/>
      <c r="G93" s="58"/>
      <c r="H93" s="59"/>
    </row>
    <row r="94" spans="1:8" ht="17.25" customHeight="1" x14ac:dyDescent="0.2">
      <c r="A94" s="55"/>
      <c r="B94" s="56"/>
      <c r="C94" s="57"/>
      <c r="D94" s="57"/>
      <c r="E94" s="58"/>
      <c r="F94" s="58"/>
      <c r="G94" s="58"/>
      <c r="H94" s="59"/>
    </row>
    <row r="95" spans="1:8" ht="17.25" customHeight="1" x14ac:dyDescent="0.2">
      <c r="A95" s="55"/>
      <c r="B95" s="56"/>
      <c r="C95" s="57"/>
      <c r="D95" s="57"/>
      <c r="E95" s="58"/>
      <c r="F95" s="58"/>
      <c r="G95" s="58"/>
      <c r="H95" s="59"/>
    </row>
    <row r="96" spans="1:8" ht="17.25" customHeight="1" x14ac:dyDescent="0.2">
      <c r="A96" s="55"/>
      <c r="B96" s="56"/>
      <c r="C96" s="57"/>
      <c r="D96" s="57"/>
      <c r="E96" s="58"/>
      <c r="F96" s="58"/>
      <c r="G96" s="58"/>
      <c r="H96" s="59"/>
    </row>
  </sheetData>
  <mergeCells count="13">
    <mergeCell ref="A1:B1"/>
    <mergeCell ref="A2:A3"/>
    <mergeCell ref="B2:B3"/>
    <mergeCell ref="C2:C3"/>
    <mergeCell ref="D2:D3"/>
    <mergeCell ref="A41:G41"/>
    <mergeCell ref="G2:G3"/>
    <mergeCell ref="H2:H3"/>
    <mergeCell ref="A7:G7"/>
    <mergeCell ref="A8:G8"/>
    <mergeCell ref="A36:G36"/>
    <mergeCell ref="A38:G38"/>
    <mergeCell ref="E2:F2"/>
  </mergeCells>
  <phoneticPr fontId="0" type="noConversion"/>
  <conditionalFormatting sqref="C43:D50 C9:D23 C25:D35 C1:C2 D1:D3">
    <cfRule type="cellIs" dxfId="192" priority="12" stopIfTrue="1" operator="equal">
      <formula>0</formula>
    </cfRule>
  </conditionalFormatting>
  <conditionalFormatting sqref="C51:D51">
    <cfRule type="cellIs" dxfId="191" priority="11" stopIfTrue="1" operator="equal">
      <formula>0</formula>
    </cfRule>
  </conditionalFormatting>
  <conditionalFormatting sqref="C37:D37">
    <cfRule type="cellIs" dxfId="190" priority="10" stopIfTrue="1" operator="equal">
      <formula>0</formula>
    </cfRule>
  </conditionalFormatting>
  <conditionalFormatting sqref="C7:D7">
    <cfRule type="cellIs" dxfId="189" priority="9" stopIfTrue="1" operator="equal">
      <formula>0</formula>
    </cfRule>
  </conditionalFormatting>
  <conditionalFormatting sqref="C8:D8">
    <cfRule type="cellIs" dxfId="188" priority="8" stopIfTrue="1" operator="equal">
      <formula>0</formula>
    </cfRule>
  </conditionalFormatting>
  <conditionalFormatting sqref="C36:D36">
    <cfRule type="cellIs" dxfId="187" priority="7" stopIfTrue="1" operator="equal">
      <formula>0</formula>
    </cfRule>
  </conditionalFormatting>
  <conditionalFormatting sqref="C41:D41">
    <cfRule type="cellIs" dxfId="186" priority="6" stopIfTrue="1" operator="equal">
      <formula>0</formula>
    </cfRule>
  </conditionalFormatting>
  <conditionalFormatting sqref="C38:D38">
    <cfRule type="cellIs" dxfId="185" priority="5" stopIfTrue="1" operator="equal">
      <formula>0</formula>
    </cfRule>
  </conditionalFormatting>
  <conditionalFormatting sqref="C24:D24">
    <cfRule type="cellIs" dxfId="184" priority="4" stopIfTrue="1" operator="equal">
      <formula>0</formula>
    </cfRule>
  </conditionalFormatting>
  <conditionalFormatting sqref="C39:D40">
    <cfRule type="cellIs" dxfId="183" priority="3" stopIfTrue="1" operator="equal">
      <formula>0</formula>
    </cfRule>
  </conditionalFormatting>
  <conditionalFormatting sqref="C42:D42">
    <cfRule type="cellIs" dxfId="182" priority="2" stopIfTrue="1" operator="equal">
      <formula>0</formula>
    </cfRule>
  </conditionalFormatting>
  <conditionalFormatting sqref="C52:D96">
    <cfRule type="cellIs" dxfId="181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5" fitToHeight="6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H128"/>
  <sheetViews>
    <sheetView zoomScale="75" workbookViewId="0">
      <pane ySplit="3" topLeftCell="A4" activePane="bottomLeft" state="frozen"/>
      <selection activeCell="H2" sqref="H2:H3"/>
    </sheetView>
  </sheetViews>
  <sheetFormatPr defaultRowHeight="12.75" x14ac:dyDescent="0.2"/>
  <cols>
    <col min="1" max="1" width="23.42578125" customWidth="1"/>
    <col min="2" max="2" width="87.42578125" customWidth="1"/>
    <col min="3" max="3" width="10.85546875" customWidth="1"/>
    <col min="4" max="4" width="10.140625" customWidth="1"/>
    <col min="5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22.7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8.9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8.9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621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622</v>
      </c>
      <c r="B8" s="222">
        <v>0</v>
      </c>
      <c r="C8" s="222">
        <v>0</v>
      </c>
      <c r="D8" s="222" t="e">
        <v>#REF!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623</v>
      </c>
      <c r="B9" s="39" t="s">
        <v>624</v>
      </c>
      <c r="C9" s="40" t="s">
        <v>129</v>
      </c>
      <c r="D9" s="40">
        <v>5</v>
      </c>
      <c r="E9" s="41">
        <v>3181.2</v>
      </c>
      <c r="F9" s="41">
        <v>3498.6</v>
      </c>
      <c r="G9" s="42">
        <v>3866.2</v>
      </c>
      <c r="H9" s="37" t="s">
        <v>53</v>
      </c>
    </row>
    <row r="10" spans="1:8" ht="18.95" customHeight="1" thickTop="1" thickBot="1" x14ac:dyDescent="0.25">
      <c r="A10" s="38" t="s">
        <v>625</v>
      </c>
      <c r="B10" s="39" t="s">
        <v>626</v>
      </c>
      <c r="C10" s="40" t="s">
        <v>129</v>
      </c>
      <c r="D10" s="40">
        <v>4</v>
      </c>
      <c r="E10" s="41">
        <v>3806.1</v>
      </c>
      <c r="F10" s="41">
        <v>4187.8</v>
      </c>
      <c r="G10" s="42">
        <v>4627.3</v>
      </c>
      <c r="H10" s="37" t="s">
        <v>50</v>
      </c>
    </row>
    <row r="11" spans="1:8" ht="18.95" customHeight="1" thickTop="1" thickBot="1" x14ac:dyDescent="0.25">
      <c r="A11" s="38" t="s">
        <v>627</v>
      </c>
      <c r="B11" s="39" t="s">
        <v>628</v>
      </c>
      <c r="C11" s="40" t="s">
        <v>129</v>
      </c>
      <c r="D11" s="40">
        <v>4</v>
      </c>
      <c r="E11" s="41">
        <v>3171.4</v>
      </c>
      <c r="F11" s="41">
        <v>3487.7</v>
      </c>
      <c r="G11" s="42">
        <v>3854.2</v>
      </c>
      <c r="H11" s="37" t="s">
        <v>50</v>
      </c>
    </row>
    <row r="12" spans="1:8" ht="18.95" customHeight="1" thickTop="1" thickBot="1" x14ac:dyDescent="0.25">
      <c r="A12" s="221" t="s">
        <v>629</v>
      </c>
      <c r="B12" s="222">
        <v>0</v>
      </c>
      <c r="C12" s="222">
        <v>0</v>
      </c>
      <c r="D12" s="222" t="e">
        <v>#REF!</v>
      </c>
      <c r="E12" s="222">
        <v>0</v>
      </c>
      <c r="F12" s="222">
        <v>0</v>
      </c>
      <c r="G12" s="223">
        <v>0</v>
      </c>
      <c r="H12" s="37" t="s">
        <v>44</v>
      </c>
    </row>
    <row r="13" spans="1:8" ht="18.95" customHeight="1" thickTop="1" thickBot="1" x14ac:dyDescent="0.25">
      <c r="A13" s="38" t="s">
        <v>630</v>
      </c>
      <c r="B13" s="39" t="s">
        <v>631</v>
      </c>
      <c r="C13" s="40" t="s">
        <v>129</v>
      </c>
      <c r="D13" s="40">
        <v>20</v>
      </c>
      <c r="E13" s="41">
        <v>670.4</v>
      </c>
      <c r="F13" s="41">
        <v>737.1</v>
      </c>
      <c r="G13" s="42">
        <v>804.7</v>
      </c>
      <c r="H13" s="37" t="s">
        <v>50</v>
      </c>
    </row>
    <row r="14" spans="1:8" ht="18.95" customHeight="1" thickTop="1" thickBot="1" x14ac:dyDescent="0.25">
      <c r="A14" s="38" t="s">
        <v>632</v>
      </c>
      <c r="B14" s="39" t="s">
        <v>631</v>
      </c>
      <c r="C14" s="40" t="s">
        <v>129</v>
      </c>
      <c r="D14" s="40">
        <v>20</v>
      </c>
      <c r="E14" s="41">
        <v>701.7</v>
      </c>
      <c r="F14" s="41">
        <v>771.3</v>
      </c>
      <c r="G14" s="42">
        <v>842.2</v>
      </c>
      <c r="H14" s="37" t="s">
        <v>53</v>
      </c>
    </row>
    <row r="15" spans="1:8" ht="18.95" customHeight="1" thickTop="1" thickBot="1" x14ac:dyDescent="0.25">
      <c r="A15" s="38" t="s">
        <v>633</v>
      </c>
      <c r="B15" s="39" t="s">
        <v>634</v>
      </c>
      <c r="C15" s="40" t="s">
        <v>129</v>
      </c>
      <c r="D15" s="40">
        <v>50</v>
      </c>
      <c r="E15" s="41">
        <v>815.1</v>
      </c>
      <c r="F15" s="41">
        <v>896.3</v>
      </c>
      <c r="G15" s="42">
        <v>979.5</v>
      </c>
      <c r="H15" s="37" t="s">
        <v>53</v>
      </c>
    </row>
    <row r="16" spans="1:8" ht="18.95" customHeight="1" thickTop="1" thickBot="1" x14ac:dyDescent="0.25">
      <c r="A16" s="38" t="s">
        <v>635</v>
      </c>
      <c r="B16" s="39" t="s">
        <v>634</v>
      </c>
      <c r="C16" s="40" t="s">
        <v>129</v>
      </c>
      <c r="D16" s="40">
        <v>54</v>
      </c>
      <c r="E16" s="41">
        <v>862</v>
      </c>
      <c r="F16" s="41">
        <v>948.4</v>
      </c>
      <c r="G16" s="42">
        <v>1035.8</v>
      </c>
      <c r="H16" s="37" t="s">
        <v>53</v>
      </c>
    </row>
    <row r="17" spans="1:8" ht="18.95" customHeight="1" thickTop="1" thickBot="1" x14ac:dyDescent="0.25">
      <c r="A17" s="38" t="s">
        <v>636</v>
      </c>
      <c r="B17" s="39" t="s">
        <v>634</v>
      </c>
      <c r="C17" s="40" t="s">
        <v>129</v>
      </c>
      <c r="D17" s="40">
        <v>54</v>
      </c>
      <c r="E17" s="41">
        <v>862</v>
      </c>
      <c r="F17" s="41">
        <v>948.4</v>
      </c>
      <c r="G17" s="42">
        <v>1035.8</v>
      </c>
      <c r="H17" s="37" t="s">
        <v>53</v>
      </c>
    </row>
    <row r="18" spans="1:8" ht="18.95" customHeight="1" thickTop="1" thickBot="1" x14ac:dyDescent="0.25">
      <c r="A18" s="38" t="s">
        <v>637</v>
      </c>
      <c r="B18" s="39" t="s">
        <v>634</v>
      </c>
      <c r="C18" s="40" t="s">
        <v>129</v>
      </c>
      <c r="D18" s="40">
        <v>54</v>
      </c>
      <c r="E18" s="41">
        <v>862</v>
      </c>
      <c r="F18" s="41">
        <v>948.4</v>
      </c>
      <c r="G18" s="42">
        <v>1035.8</v>
      </c>
      <c r="H18" s="37" t="s">
        <v>53</v>
      </c>
    </row>
    <row r="19" spans="1:8" ht="18.95" customHeight="1" thickTop="1" thickBot="1" x14ac:dyDescent="0.25">
      <c r="A19" s="38" t="s">
        <v>638</v>
      </c>
      <c r="B19" s="39" t="s">
        <v>639</v>
      </c>
      <c r="C19" s="40" t="s">
        <v>129</v>
      </c>
      <c r="D19" s="40">
        <v>8</v>
      </c>
      <c r="E19" s="41">
        <v>2954.4</v>
      </c>
      <c r="F19" s="41">
        <v>3251</v>
      </c>
      <c r="G19" s="42">
        <v>3549.9</v>
      </c>
      <c r="H19" s="37" t="s">
        <v>53</v>
      </c>
    </row>
    <row r="20" spans="1:8" ht="18.95" customHeight="1" thickTop="1" thickBot="1" x14ac:dyDescent="0.25">
      <c r="A20" s="38" t="s">
        <v>640</v>
      </c>
      <c r="B20" s="39" t="s">
        <v>641</v>
      </c>
      <c r="C20" s="40" t="s">
        <v>129</v>
      </c>
      <c r="D20" s="40">
        <v>50</v>
      </c>
      <c r="E20" s="41">
        <v>776.6</v>
      </c>
      <c r="F20" s="41">
        <v>854.7</v>
      </c>
      <c r="G20" s="42">
        <v>933.8</v>
      </c>
      <c r="H20" s="37" t="s">
        <v>53</v>
      </c>
    </row>
    <row r="21" spans="1:8" ht="14.25" thickTop="1" thickBot="1" x14ac:dyDescent="0.25">
      <c r="A21" s="38" t="s">
        <v>642</v>
      </c>
      <c r="B21" s="39" t="s">
        <v>643</v>
      </c>
      <c r="C21" s="40" t="s">
        <v>129</v>
      </c>
      <c r="D21" s="40">
        <v>10</v>
      </c>
      <c r="E21" s="41">
        <v>4027.7</v>
      </c>
      <c r="F21" s="41">
        <v>4428.3999999999996</v>
      </c>
      <c r="G21" s="42">
        <v>4836.5</v>
      </c>
      <c r="H21" s="37" t="s">
        <v>53</v>
      </c>
    </row>
    <row r="22" spans="1:8" ht="14.25" thickTop="1" thickBot="1" x14ac:dyDescent="0.25">
      <c r="A22" s="38" t="s">
        <v>644</v>
      </c>
      <c r="B22" s="39" t="s">
        <v>641</v>
      </c>
      <c r="C22" s="40" t="s">
        <v>129</v>
      </c>
      <c r="D22" s="40">
        <v>50</v>
      </c>
      <c r="E22" s="41">
        <v>830.7</v>
      </c>
      <c r="F22" s="41">
        <v>914</v>
      </c>
      <c r="G22" s="42">
        <v>998.4</v>
      </c>
      <c r="H22" s="37" t="s">
        <v>53</v>
      </c>
    </row>
    <row r="23" spans="1:8" ht="14.25" thickTop="1" thickBot="1" x14ac:dyDescent="0.25">
      <c r="A23" s="38" t="s">
        <v>645</v>
      </c>
      <c r="B23" s="39" t="s">
        <v>643</v>
      </c>
      <c r="C23" s="40" t="s">
        <v>129</v>
      </c>
      <c r="D23" s="40">
        <v>10</v>
      </c>
      <c r="E23" s="41">
        <v>4562.8</v>
      </c>
      <c r="F23" s="41">
        <v>5018.7</v>
      </c>
      <c r="G23" s="42">
        <v>5480.9</v>
      </c>
      <c r="H23" s="37" t="s">
        <v>53</v>
      </c>
    </row>
    <row r="24" spans="1:8" ht="14.25" thickTop="1" thickBot="1" x14ac:dyDescent="0.25">
      <c r="A24" s="38" t="s">
        <v>646</v>
      </c>
      <c r="B24" s="39" t="s">
        <v>641</v>
      </c>
      <c r="C24" s="40" t="s">
        <v>129</v>
      </c>
      <c r="D24" s="40">
        <v>50</v>
      </c>
      <c r="E24" s="41">
        <v>830.7</v>
      </c>
      <c r="F24" s="41">
        <v>914</v>
      </c>
      <c r="G24" s="42">
        <v>998.4</v>
      </c>
      <c r="H24" s="37" t="s">
        <v>53</v>
      </c>
    </row>
    <row r="25" spans="1:8" ht="14.25" thickTop="1" thickBot="1" x14ac:dyDescent="0.25">
      <c r="A25" s="38" t="s">
        <v>647</v>
      </c>
      <c r="B25" s="39" t="s">
        <v>643</v>
      </c>
      <c r="C25" s="40" t="s">
        <v>129</v>
      </c>
      <c r="D25" s="40">
        <v>10</v>
      </c>
      <c r="E25" s="41">
        <v>4562.8</v>
      </c>
      <c r="F25" s="41">
        <v>5018.7</v>
      </c>
      <c r="G25" s="42">
        <v>5480.9</v>
      </c>
      <c r="H25" s="37" t="s">
        <v>53</v>
      </c>
    </row>
    <row r="26" spans="1:8" ht="14.25" thickTop="1" thickBot="1" x14ac:dyDescent="0.25">
      <c r="A26" s="38" t="s">
        <v>648</v>
      </c>
      <c r="B26" s="39" t="s">
        <v>641</v>
      </c>
      <c r="C26" s="40" t="s">
        <v>129</v>
      </c>
      <c r="D26" s="40">
        <v>50</v>
      </c>
      <c r="E26" s="41">
        <v>830.7</v>
      </c>
      <c r="F26" s="41">
        <v>914</v>
      </c>
      <c r="G26" s="42">
        <v>998.4</v>
      </c>
      <c r="H26" s="37" t="s">
        <v>53</v>
      </c>
    </row>
    <row r="27" spans="1:8" ht="14.25" thickTop="1" thickBot="1" x14ac:dyDescent="0.25">
      <c r="A27" s="38" t="s">
        <v>649</v>
      </c>
      <c r="B27" s="39" t="s">
        <v>643</v>
      </c>
      <c r="C27" s="40" t="s">
        <v>129</v>
      </c>
      <c r="D27" s="40">
        <v>10</v>
      </c>
      <c r="E27" s="41">
        <v>4562.8</v>
      </c>
      <c r="F27" s="41">
        <v>5018.7</v>
      </c>
      <c r="G27" s="42">
        <v>5480.9</v>
      </c>
      <c r="H27" s="37" t="s">
        <v>50</v>
      </c>
    </row>
    <row r="28" spans="1:8" ht="14.25" thickTop="1" thickBot="1" x14ac:dyDescent="0.25">
      <c r="A28" s="38" t="s">
        <v>650</v>
      </c>
      <c r="B28" s="39" t="s">
        <v>641</v>
      </c>
      <c r="C28" s="40" t="s">
        <v>129</v>
      </c>
      <c r="D28" s="40">
        <v>150</v>
      </c>
      <c r="E28" s="41">
        <v>830.7</v>
      </c>
      <c r="F28" s="41">
        <v>914</v>
      </c>
      <c r="G28" s="42">
        <v>998.4</v>
      </c>
      <c r="H28" s="37" t="s">
        <v>53</v>
      </c>
    </row>
    <row r="29" spans="1:8" ht="14.25" thickTop="1" thickBot="1" x14ac:dyDescent="0.25">
      <c r="A29" s="38" t="s">
        <v>651</v>
      </c>
      <c r="B29" s="39" t="s">
        <v>641</v>
      </c>
      <c r="C29" s="40" t="s">
        <v>129</v>
      </c>
      <c r="D29" s="40">
        <v>50</v>
      </c>
      <c r="E29" s="41">
        <v>830.7</v>
      </c>
      <c r="F29" s="41">
        <v>914</v>
      </c>
      <c r="G29" s="42">
        <v>998.4</v>
      </c>
      <c r="H29" s="37" t="s">
        <v>53</v>
      </c>
    </row>
    <row r="30" spans="1:8" ht="14.25" thickTop="1" thickBot="1" x14ac:dyDescent="0.25">
      <c r="A30" s="38" t="s">
        <v>652</v>
      </c>
      <c r="B30" s="39" t="s">
        <v>641</v>
      </c>
      <c r="C30" s="40" t="s">
        <v>129</v>
      </c>
      <c r="D30" s="40">
        <v>50</v>
      </c>
      <c r="E30" s="41">
        <v>830.7</v>
      </c>
      <c r="F30" s="41">
        <v>914</v>
      </c>
      <c r="G30" s="42">
        <v>998.4</v>
      </c>
      <c r="H30" s="37" t="s">
        <v>53</v>
      </c>
    </row>
    <row r="31" spans="1:8" ht="14.25" thickTop="1" thickBot="1" x14ac:dyDescent="0.25">
      <c r="A31" s="38" t="s">
        <v>653</v>
      </c>
      <c r="B31" s="39" t="s">
        <v>641</v>
      </c>
      <c r="C31" s="40" t="s">
        <v>129</v>
      </c>
      <c r="D31" s="40">
        <v>50</v>
      </c>
      <c r="E31" s="41">
        <v>830.7</v>
      </c>
      <c r="F31" s="41">
        <v>914</v>
      </c>
      <c r="G31" s="42">
        <v>998.4</v>
      </c>
      <c r="H31" s="37" t="s">
        <v>53</v>
      </c>
    </row>
    <row r="32" spans="1:8" ht="14.25" thickTop="1" thickBot="1" x14ac:dyDescent="0.25">
      <c r="A32" s="38" t="s">
        <v>654</v>
      </c>
      <c r="B32" s="39" t="s">
        <v>655</v>
      </c>
      <c r="C32" s="40" t="s">
        <v>129</v>
      </c>
      <c r="D32" s="40">
        <v>50</v>
      </c>
      <c r="E32" s="41">
        <v>951.5</v>
      </c>
      <c r="F32" s="41">
        <v>1046.2</v>
      </c>
      <c r="G32" s="42">
        <v>1142</v>
      </c>
      <c r="H32" s="37" t="s">
        <v>53</v>
      </c>
    </row>
    <row r="33" spans="1:8" ht="14.25" thickTop="1" thickBot="1" x14ac:dyDescent="0.25">
      <c r="A33" s="38" t="s">
        <v>656</v>
      </c>
      <c r="B33" s="39" t="s">
        <v>657</v>
      </c>
      <c r="C33" s="40" t="s">
        <v>129</v>
      </c>
      <c r="D33" s="40">
        <v>8</v>
      </c>
      <c r="E33" s="41">
        <v>5768.2</v>
      </c>
      <c r="F33" s="41">
        <v>6345</v>
      </c>
      <c r="G33" s="42">
        <v>6929</v>
      </c>
      <c r="H33" s="37" t="s">
        <v>53</v>
      </c>
    </row>
    <row r="34" spans="1:8" ht="14.25" thickTop="1" thickBot="1" x14ac:dyDescent="0.25">
      <c r="A34" s="38" t="s">
        <v>658</v>
      </c>
      <c r="B34" s="39" t="s">
        <v>655</v>
      </c>
      <c r="C34" s="40" t="s">
        <v>129</v>
      </c>
      <c r="D34" s="40">
        <v>1</v>
      </c>
      <c r="E34" s="41">
        <v>1027.4000000000001</v>
      </c>
      <c r="F34" s="41">
        <v>1129.4000000000001</v>
      </c>
      <c r="G34" s="42">
        <v>1233.5999999999999</v>
      </c>
      <c r="H34" s="37" t="s">
        <v>53</v>
      </c>
    </row>
    <row r="35" spans="1:8" ht="14.25" thickTop="1" thickBot="1" x14ac:dyDescent="0.25">
      <c r="A35" s="38" t="s">
        <v>659</v>
      </c>
      <c r="B35" s="39" t="s">
        <v>655</v>
      </c>
      <c r="C35" s="40" t="s">
        <v>129</v>
      </c>
      <c r="D35" s="40">
        <v>1</v>
      </c>
      <c r="E35" s="41">
        <v>1027.4000000000001</v>
      </c>
      <c r="F35" s="41">
        <v>1129.4000000000001</v>
      </c>
      <c r="G35" s="42">
        <v>1233.5999999999999</v>
      </c>
      <c r="H35" s="37" t="s">
        <v>53</v>
      </c>
    </row>
    <row r="36" spans="1:8" ht="14.25" thickTop="1" thickBot="1" x14ac:dyDescent="0.25">
      <c r="A36" s="38" t="s">
        <v>660</v>
      </c>
      <c r="B36" s="39" t="s">
        <v>655</v>
      </c>
      <c r="C36" s="40" t="s">
        <v>129</v>
      </c>
      <c r="D36" s="40">
        <v>1</v>
      </c>
      <c r="E36" s="41">
        <v>1027.4000000000001</v>
      </c>
      <c r="F36" s="41">
        <v>1129.4000000000001</v>
      </c>
      <c r="G36" s="42">
        <v>1233.5999999999999</v>
      </c>
      <c r="H36" s="37" t="s">
        <v>53</v>
      </c>
    </row>
    <row r="37" spans="1:8" ht="14.25" thickTop="1" thickBot="1" x14ac:dyDescent="0.25">
      <c r="A37" s="38" t="s">
        <v>661</v>
      </c>
      <c r="B37" s="39" t="s">
        <v>662</v>
      </c>
      <c r="C37" s="40" t="s">
        <v>129</v>
      </c>
      <c r="D37" s="40">
        <v>50</v>
      </c>
      <c r="E37" s="41">
        <v>727.7</v>
      </c>
      <c r="F37" s="41">
        <v>799.6</v>
      </c>
      <c r="G37" s="42">
        <v>874.4</v>
      </c>
      <c r="H37" s="37" t="s">
        <v>53</v>
      </c>
    </row>
    <row r="38" spans="1:8" ht="14.25" thickTop="1" thickBot="1" x14ac:dyDescent="0.25">
      <c r="A38" s="38" t="s">
        <v>663</v>
      </c>
      <c r="B38" s="39" t="s">
        <v>664</v>
      </c>
      <c r="C38" s="40" t="s">
        <v>129</v>
      </c>
      <c r="D38" s="40">
        <v>10</v>
      </c>
      <c r="E38" s="41">
        <v>7017.4</v>
      </c>
      <c r="F38" s="41">
        <v>7719.2</v>
      </c>
      <c r="G38" s="42">
        <v>8429.1</v>
      </c>
      <c r="H38" s="37" t="s">
        <v>53</v>
      </c>
    </row>
    <row r="39" spans="1:8" ht="14.25" thickTop="1" thickBot="1" x14ac:dyDescent="0.25">
      <c r="A39" s="38" t="s">
        <v>665</v>
      </c>
      <c r="B39" s="39" t="s">
        <v>666</v>
      </c>
      <c r="C39" s="40" t="s">
        <v>129</v>
      </c>
      <c r="D39" s="40">
        <v>54</v>
      </c>
      <c r="E39" s="41">
        <v>1074.3</v>
      </c>
      <c r="F39" s="41">
        <v>1180.4000000000001</v>
      </c>
      <c r="G39" s="42">
        <v>1289.9000000000001</v>
      </c>
      <c r="H39" s="37" t="s">
        <v>53</v>
      </c>
    </row>
    <row r="40" spans="1:8" ht="14.25" thickTop="1" thickBot="1" x14ac:dyDescent="0.25">
      <c r="A40" s="38" t="s">
        <v>667</v>
      </c>
      <c r="B40" s="39" t="s">
        <v>668</v>
      </c>
      <c r="C40" s="40" t="s">
        <v>129</v>
      </c>
      <c r="D40" s="40">
        <v>4</v>
      </c>
      <c r="E40" s="41">
        <v>14633.5</v>
      </c>
      <c r="F40" s="41">
        <v>16098.3</v>
      </c>
      <c r="G40" s="42">
        <v>17578.599999999999</v>
      </c>
      <c r="H40" s="37" t="s">
        <v>53</v>
      </c>
    </row>
    <row r="41" spans="1:8" ht="14.25" thickTop="1" thickBot="1" x14ac:dyDescent="0.25">
      <c r="A41" s="38" t="s">
        <v>669</v>
      </c>
      <c r="B41" s="39" t="s">
        <v>670</v>
      </c>
      <c r="C41" s="40" t="s">
        <v>129</v>
      </c>
      <c r="D41" s="40">
        <v>54</v>
      </c>
      <c r="E41" s="41">
        <v>1232.5999999999999</v>
      </c>
      <c r="F41" s="41">
        <v>1355.4</v>
      </c>
      <c r="G41" s="42">
        <v>1480.3</v>
      </c>
      <c r="H41" s="37" t="s">
        <v>53</v>
      </c>
    </row>
    <row r="42" spans="1:8" ht="14.25" thickTop="1" thickBot="1" x14ac:dyDescent="0.25">
      <c r="A42" s="38" t="s">
        <v>671</v>
      </c>
      <c r="B42" s="39" t="s">
        <v>672</v>
      </c>
      <c r="C42" s="40" t="s">
        <v>129</v>
      </c>
      <c r="D42" s="40">
        <v>4</v>
      </c>
      <c r="E42" s="41">
        <v>17106.900000000001</v>
      </c>
      <c r="F42" s="41">
        <v>18816.3</v>
      </c>
      <c r="G42" s="42">
        <v>20548.599999999999</v>
      </c>
      <c r="H42" s="37" t="s">
        <v>53</v>
      </c>
    </row>
    <row r="43" spans="1:8" ht="14.25" thickTop="1" thickBot="1" x14ac:dyDescent="0.25">
      <c r="A43" s="43" t="s">
        <v>673</v>
      </c>
      <c r="B43" s="44" t="s">
        <v>674</v>
      </c>
      <c r="C43" s="40" t="s">
        <v>129</v>
      </c>
      <c r="D43" s="98">
        <v>2</v>
      </c>
      <c r="E43" s="41">
        <v>62610.7</v>
      </c>
      <c r="F43" s="41">
        <v>68869.2</v>
      </c>
      <c r="G43" s="42">
        <v>76106.399999999994</v>
      </c>
      <c r="H43" s="37" t="s">
        <v>53</v>
      </c>
    </row>
    <row r="44" spans="1:8" ht="14.25" thickTop="1" thickBot="1" x14ac:dyDescent="0.25">
      <c r="A44" s="221" t="s">
        <v>675</v>
      </c>
      <c r="B44" s="222">
        <v>0</v>
      </c>
      <c r="C44" s="222">
        <v>0</v>
      </c>
      <c r="D44" s="222" t="e">
        <v>#REF!</v>
      </c>
      <c r="E44" s="222">
        <v>0</v>
      </c>
      <c r="F44" s="222">
        <v>0</v>
      </c>
      <c r="G44" s="223">
        <v>0</v>
      </c>
      <c r="H44" s="37" t="s">
        <v>44</v>
      </c>
    </row>
    <row r="45" spans="1:8" ht="27" thickTop="1" thickBot="1" x14ac:dyDescent="0.25">
      <c r="A45" s="38" t="s">
        <v>676</v>
      </c>
      <c r="B45" s="39" t="s">
        <v>677</v>
      </c>
      <c r="C45" s="40" t="s">
        <v>129</v>
      </c>
      <c r="D45" s="40">
        <v>4</v>
      </c>
      <c r="E45" s="99">
        <v>13137.5</v>
      </c>
      <c r="F45" s="99">
        <v>14451.5</v>
      </c>
      <c r="G45" s="100">
        <v>13885.9</v>
      </c>
      <c r="H45" s="37" t="s">
        <v>53</v>
      </c>
    </row>
    <row r="46" spans="1:8" ht="14.25" thickTop="1" thickBot="1" x14ac:dyDescent="0.25">
      <c r="A46" s="221" t="s">
        <v>678</v>
      </c>
      <c r="B46" s="222">
        <v>0</v>
      </c>
      <c r="C46" s="222">
        <v>0</v>
      </c>
      <c r="D46" s="222" t="e">
        <v>#REF!</v>
      </c>
      <c r="E46" s="222">
        <v>0</v>
      </c>
      <c r="F46" s="222">
        <v>0</v>
      </c>
      <c r="G46" s="223">
        <v>0</v>
      </c>
      <c r="H46" s="37" t="s">
        <v>44</v>
      </c>
    </row>
    <row r="47" spans="1:8" ht="14.25" thickTop="1" thickBot="1" x14ac:dyDescent="0.25">
      <c r="A47" s="38" t="s">
        <v>679</v>
      </c>
      <c r="B47" s="39" t="s">
        <v>680</v>
      </c>
      <c r="C47" s="40" t="s">
        <v>129</v>
      </c>
      <c r="D47" s="40">
        <v>50</v>
      </c>
      <c r="E47" s="41">
        <v>1368.9</v>
      </c>
      <c r="F47" s="41">
        <v>1506.3</v>
      </c>
      <c r="G47" s="41">
        <v>1664.6</v>
      </c>
      <c r="H47" s="37" t="s">
        <v>53</v>
      </c>
    </row>
    <row r="48" spans="1:8" ht="14.25" thickTop="1" thickBot="1" x14ac:dyDescent="0.25">
      <c r="A48" s="38" t="s">
        <v>681</v>
      </c>
      <c r="B48" s="39" t="s">
        <v>682</v>
      </c>
      <c r="C48" s="40" t="s">
        <v>129</v>
      </c>
      <c r="D48" s="40">
        <v>50</v>
      </c>
      <c r="E48" s="41">
        <v>1848.9</v>
      </c>
      <c r="F48" s="41">
        <v>2033.1</v>
      </c>
      <c r="G48" s="42">
        <v>2247.6</v>
      </c>
      <c r="H48" s="37" t="s">
        <v>53</v>
      </c>
    </row>
    <row r="49" spans="1:8" ht="14.25" thickTop="1" thickBot="1" x14ac:dyDescent="0.25">
      <c r="A49" s="38" t="s">
        <v>683</v>
      </c>
      <c r="B49" s="39" t="s">
        <v>684</v>
      </c>
      <c r="C49" s="40" t="s">
        <v>129</v>
      </c>
      <c r="D49" s="40">
        <v>5</v>
      </c>
      <c r="E49" s="41">
        <v>16806.099999999999</v>
      </c>
      <c r="F49" s="41">
        <v>18486.3</v>
      </c>
      <c r="G49" s="42">
        <v>20428.900000000001</v>
      </c>
      <c r="H49" s="37" t="s">
        <v>53</v>
      </c>
    </row>
    <row r="50" spans="1:8" ht="14.25" thickTop="1" thickBot="1" x14ac:dyDescent="0.25">
      <c r="A50" s="38" t="s">
        <v>685</v>
      </c>
      <c r="B50" s="39" t="s">
        <v>686</v>
      </c>
      <c r="C50" s="40" t="s">
        <v>129</v>
      </c>
      <c r="D50" s="40">
        <v>50</v>
      </c>
      <c r="E50" s="41">
        <v>1643.8</v>
      </c>
      <c r="F50" s="41">
        <v>1808.3</v>
      </c>
      <c r="G50" s="42">
        <v>1998.8</v>
      </c>
      <c r="H50" s="37" t="s">
        <v>53</v>
      </c>
    </row>
    <row r="51" spans="1:8" ht="14.25" thickTop="1" thickBot="1" x14ac:dyDescent="0.25">
      <c r="A51" s="38" t="s">
        <v>687</v>
      </c>
      <c r="B51" s="39" t="s">
        <v>688</v>
      </c>
      <c r="C51" s="40" t="s">
        <v>129</v>
      </c>
      <c r="D51" s="40">
        <v>3</v>
      </c>
      <c r="E51" s="41">
        <v>29890.6</v>
      </c>
      <c r="F51" s="41">
        <v>32877.300000000003</v>
      </c>
      <c r="G51" s="42">
        <v>31593.7</v>
      </c>
      <c r="H51" s="37" t="s">
        <v>53</v>
      </c>
    </row>
    <row r="52" spans="1:8" ht="14.25" thickTop="1" thickBot="1" x14ac:dyDescent="0.25">
      <c r="A52" s="38" t="s">
        <v>689</v>
      </c>
      <c r="B52" s="39" t="s">
        <v>690</v>
      </c>
      <c r="C52" s="40" t="s">
        <v>129</v>
      </c>
      <c r="D52" s="40">
        <v>5</v>
      </c>
      <c r="E52" s="41">
        <v>45485</v>
      </c>
      <c r="F52" s="41">
        <v>50033.1</v>
      </c>
      <c r="G52" s="42">
        <v>55287.1</v>
      </c>
      <c r="H52" s="37" t="s">
        <v>53</v>
      </c>
    </row>
    <row r="53" spans="1:8" ht="14.25" thickTop="1" thickBot="1" x14ac:dyDescent="0.25">
      <c r="A53" s="38" t="s">
        <v>691</v>
      </c>
      <c r="B53" s="39" t="s">
        <v>692</v>
      </c>
      <c r="C53" s="40" t="s">
        <v>129</v>
      </c>
      <c r="D53" s="40">
        <v>250</v>
      </c>
      <c r="E53" s="41">
        <v>1014.4</v>
      </c>
      <c r="F53" s="41">
        <v>1117.2</v>
      </c>
      <c r="G53" s="42">
        <v>1233.8</v>
      </c>
      <c r="H53" s="37" t="s">
        <v>50</v>
      </c>
    </row>
    <row r="54" spans="1:8" ht="14.25" thickTop="1" thickBot="1" x14ac:dyDescent="0.25">
      <c r="A54" s="221" t="s">
        <v>693</v>
      </c>
      <c r="B54" s="222">
        <v>0</v>
      </c>
      <c r="C54" s="222">
        <v>0</v>
      </c>
      <c r="D54" s="222" t="e">
        <v>#REF!</v>
      </c>
      <c r="E54" s="222">
        <v>0</v>
      </c>
      <c r="F54" s="222">
        <v>0</v>
      </c>
      <c r="G54" s="223">
        <v>0</v>
      </c>
      <c r="H54" s="37" t="s">
        <v>44</v>
      </c>
    </row>
    <row r="55" spans="1:8" ht="14.25" thickTop="1" thickBot="1" x14ac:dyDescent="0.25">
      <c r="A55" s="38" t="s">
        <v>694</v>
      </c>
      <c r="B55" s="39" t="s">
        <v>695</v>
      </c>
      <c r="C55" s="40" t="s">
        <v>129</v>
      </c>
      <c r="D55" s="40">
        <v>10</v>
      </c>
      <c r="E55" s="41">
        <v>242.8</v>
      </c>
      <c r="F55" s="41">
        <v>268.10000000000002</v>
      </c>
      <c r="G55" s="42">
        <v>295.5</v>
      </c>
      <c r="H55" s="37" t="s">
        <v>50</v>
      </c>
    </row>
    <row r="56" spans="1:8" ht="14.25" thickTop="1" thickBot="1" x14ac:dyDescent="0.25">
      <c r="A56" s="38" t="s">
        <v>696</v>
      </c>
      <c r="B56" s="39" t="s">
        <v>697</v>
      </c>
      <c r="C56" s="40" t="s">
        <v>129</v>
      </c>
      <c r="D56" s="40">
        <v>10</v>
      </c>
      <c r="E56" s="41">
        <v>153.4</v>
      </c>
      <c r="F56" s="41">
        <v>168.3</v>
      </c>
      <c r="G56" s="42">
        <v>185.5</v>
      </c>
      <c r="H56" s="37" t="s">
        <v>50</v>
      </c>
    </row>
    <row r="57" spans="1:8" ht="14.25" thickTop="1" thickBot="1" x14ac:dyDescent="0.25">
      <c r="A57" s="38" t="s">
        <v>698</v>
      </c>
      <c r="B57" s="39" t="s">
        <v>699</v>
      </c>
      <c r="C57" s="40" t="s">
        <v>129</v>
      </c>
      <c r="D57" s="40">
        <v>10</v>
      </c>
      <c r="E57" s="41">
        <v>264.5</v>
      </c>
      <c r="F57" s="41">
        <v>290.89999999999998</v>
      </c>
      <c r="G57" s="42">
        <v>321.8</v>
      </c>
      <c r="H57" s="37" t="s">
        <v>53</v>
      </c>
    </row>
    <row r="58" spans="1:8" ht="14.25" thickTop="1" thickBot="1" x14ac:dyDescent="0.25">
      <c r="A58" s="38" t="s">
        <v>700</v>
      </c>
      <c r="B58" s="39" t="s">
        <v>701</v>
      </c>
      <c r="C58" s="40" t="s">
        <v>129</v>
      </c>
      <c r="D58" s="40">
        <v>10</v>
      </c>
      <c r="E58" s="41">
        <v>264.5</v>
      </c>
      <c r="F58" s="41">
        <v>290.89999999999998</v>
      </c>
      <c r="G58" s="42">
        <v>321.8</v>
      </c>
      <c r="H58" s="37" t="s">
        <v>53</v>
      </c>
    </row>
    <row r="59" spans="1:8" ht="14.25" thickTop="1" thickBot="1" x14ac:dyDescent="0.25">
      <c r="A59" s="38" t="s">
        <v>702</v>
      </c>
      <c r="B59" s="39" t="s">
        <v>703</v>
      </c>
      <c r="C59" s="40" t="s">
        <v>129</v>
      </c>
      <c r="D59" s="40">
        <v>10</v>
      </c>
      <c r="E59" s="41">
        <v>355</v>
      </c>
      <c r="F59" s="41">
        <v>389.3</v>
      </c>
      <c r="G59" s="42">
        <v>430.5</v>
      </c>
      <c r="H59" s="37" t="s">
        <v>50</v>
      </c>
    </row>
    <row r="60" spans="1:8" ht="14.25" thickTop="1" thickBot="1" x14ac:dyDescent="0.25">
      <c r="A60" s="38" t="s">
        <v>704</v>
      </c>
      <c r="B60" s="39" t="s">
        <v>705</v>
      </c>
      <c r="C60" s="40" t="s">
        <v>129</v>
      </c>
      <c r="D60" s="40">
        <v>10</v>
      </c>
      <c r="E60" s="41">
        <v>355</v>
      </c>
      <c r="F60" s="41">
        <v>389.3</v>
      </c>
      <c r="G60" s="42">
        <v>430.5</v>
      </c>
      <c r="H60" s="37" t="s">
        <v>53</v>
      </c>
    </row>
    <row r="61" spans="1:8" ht="14.25" thickTop="1" thickBot="1" x14ac:dyDescent="0.25">
      <c r="A61" s="38" t="s">
        <v>706</v>
      </c>
      <c r="B61" s="39" t="s">
        <v>707</v>
      </c>
      <c r="C61" s="40" t="s">
        <v>129</v>
      </c>
      <c r="D61" s="40">
        <v>10</v>
      </c>
      <c r="E61" s="41">
        <v>446.6</v>
      </c>
      <c r="F61" s="41">
        <v>491.2</v>
      </c>
      <c r="G61" s="42">
        <v>544</v>
      </c>
      <c r="H61" s="37" t="s">
        <v>53</v>
      </c>
    </row>
    <row r="62" spans="1:8" ht="14.25" thickTop="1" thickBot="1" x14ac:dyDescent="0.25">
      <c r="A62" s="38" t="s">
        <v>708</v>
      </c>
      <c r="B62" s="39" t="s">
        <v>709</v>
      </c>
      <c r="C62" s="40" t="s">
        <v>129</v>
      </c>
      <c r="D62" s="40">
        <v>10</v>
      </c>
      <c r="E62" s="41">
        <v>446.6</v>
      </c>
      <c r="F62" s="41">
        <v>491.2</v>
      </c>
      <c r="G62" s="42">
        <v>544</v>
      </c>
      <c r="H62" s="37" t="s">
        <v>53</v>
      </c>
    </row>
    <row r="63" spans="1:8" ht="14.25" thickTop="1" thickBot="1" x14ac:dyDescent="0.25">
      <c r="A63" s="38" t="s">
        <v>710</v>
      </c>
      <c r="B63" s="39" t="s">
        <v>711</v>
      </c>
      <c r="C63" s="40" t="s">
        <v>129</v>
      </c>
      <c r="D63" s="40">
        <v>10</v>
      </c>
      <c r="E63" s="41">
        <v>615</v>
      </c>
      <c r="F63" s="41">
        <v>676.9</v>
      </c>
      <c r="G63" s="42">
        <v>747.8</v>
      </c>
      <c r="H63" s="37" t="s">
        <v>53</v>
      </c>
    </row>
    <row r="64" spans="1:8" ht="14.25" thickTop="1" thickBot="1" x14ac:dyDescent="0.25">
      <c r="A64" s="38" t="s">
        <v>712</v>
      </c>
      <c r="B64" s="39" t="s">
        <v>713</v>
      </c>
      <c r="C64" s="40" t="s">
        <v>129</v>
      </c>
      <c r="D64" s="40">
        <v>10</v>
      </c>
      <c r="E64" s="41">
        <v>615</v>
      </c>
      <c r="F64" s="41">
        <v>676.9</v>
      </c>
      <c r="G64" s="42">
        <v>747.8</v>
      </c>
      <c r="H64" s="37" t="s">
        <v>53</v>
      </c>
    </row>
    <row r="65" spans="1:8" ht="14.25" thickTop="1" thickBot="1" x14ac:dyDescent="0.25">
      <c r="A65" s="221" t="s">
        <v>714</v>
      </c>
      <c r="B65" s="222">
        <v>0</v>
      </c>
      <c r="C65" s="222">
        <v>0</v>
      </c>
      <c r="D65" s="222" t="e">
        <v>#REF!</v>
      </c>
      <c r="E65" s="222">
        <v>0</v>
      </c>
      <c r="F65" s="222">
        <v>0</v>
      </c>
      <c r="G65" s="223">
        <v>0</v>
      </c>
      <c r="H65" s="37" t="s">
        <v>44</v>
      </c>
    </row>
    <row r="66" spans="1:8" ht="14.25" thickTop="1" thickBot="1" x14ac:dyDescent="0.25">
      <c r="A66" s="38" t="s">
        <v>715</v>
      </c>
      <c r="B66" s="39" t="s">
        <v>716</v>
      </c>
      <c r="C66" s="40" t="s">
        <v>129</v>
      </c>
      <c r="D66" s="101">
        <v>10</v>
      </c>
      <c r="E66" s="41">
        <v>1706.3</v>
      </c>
      <c r="F66" s="41">
        <v>1875.7</v>
      </c>
      <c r="G66" s="42">
        <v>2072.6</v>
      </c>
      <c r="H66" s="37" t="s">
        <v>53</v>
      </c>
    </row>
    <row r="67" spans="1:8" ht="14.25" thickTop="1" thickBot="1" x14ac:dyDescent="0.25">
      <c r="A67" s="221" t="s">
        <v>717</v>
      </c>
      <c r="B67" s="222">
        <v>0</v>
      </c>
      <c r="C67" s="222">
        <v>0</v>
      </c>
      <c r="D67" s="222" t="e">
        <v>#REF!</v>
      </c>
      <c r="E67" s="222">
        <v>0</v>
      </c>
      <c r="F67" s="222">
        <v>0</v>
      </c>
      <c r="G67" s="223">
        <v>0</v>
      </c>
      <c r="H67" s="37" t="s">
        <v>44</v>
      </c>
    </row>
    <row r="68" spans="1:8" ht="14.25" thickTop="1" thickBot="1" x14ac:dyDescent="0.25">
      <c r="A68" s="38" t="s">
        <v>718</v>
      </c>
      <c r="B68" s="39" t="s">
        <v>699</v>
      </c>
      <c r="C68" s="40" t="s">
        <v>129</v>
      </c>
      <c r="D68" s="40">
        <v>10</v>
      </c>
      <c r="E68" s="41">
        <v>1267.7</v>
      </c>
      <c r="F68" s="41">
        <v>1394.7</v>
      </c>
      <c r="G68" s="42">
        <v>1542.4</v>
      </c>
      <c r="H68" s="37" t="s">
        <v>53</v>
      </c>
    </row>
    <row r="69" spans="1:8" ht="14.25" thickTop="1" thickBot="1" x14ac:dyDescent="0.25">
      <c r="A69" s="38" t="s">
        <v>719</v>
      </c>
      <c r="B69" s="39" t="s">
        <v>703</v>
      </c>
      <c r="C69" s="40" t="s">
        <v>129</v>
      </c>
      <c r="D69" s="40">
        <v>10</v>
      </c>
      <c r="E69" s="41">
        <v>1656.9</v>
      </c>
      <c r="F69" s="41">
        <v>1820.7</v>
      </c>
      <c r="G69" s="42">
        <v>2013.1</v>
      </c>
      <c r="H69" s="37" t="s">
        <v>53</v>
      </c>
    </row>
    <row r="70" spans="1:8" ht="14.25" thickTop="1" thickBot="1" x14ac:dyDescent="0.25">
      <c r="A70" s="38" t="s">
        <v>720</v>
      </c>
      <c r="B70" s="39" t="s">
        <v>705</v>
      </c>
      <c r="C70" s="40" t="s">
        <v>129</v>
      </c>
      <c r="D70" s="40">
        <v>24</v>
      </c>
      <c r="E70" s="41">
        <v>1506.3</v>
      </c>
      <c r="F70" s="41">
        <v>1655.3</v>
      </c>
      <c r="G70" s="42">
        <v>1830.1</v>
      </c>
      <c r="H70" s="37" t="s">
        <v>53</v>
      </c>
    </row>
    <row r="71" spans="1:8" ht="14.25" thickTop="1" thickBot="1" x14ac:dyDescent="0.25">
      <c r="A71" s="38" t="s">
        <v>721</v>
      </c>
      <c r="B71" s="39" t="s">
        <v>707</v>
      </c>
      <c r="C71" s="40" t="s">
        <v>129</v>
      </c>
      <c r="D71" s="40">
        <v>10</v>
      </c>
      <c r="E71" s="41">
        <v>2053.3000000000002</v>
      </c>
      <c r="F71" s="41">
        <v>2257.1</v>
      </c>
      <c r="G71" s="42">
        <v>2494</v>
      </c>
      <c r="H71" s="37" t="s">
        <v>53</v>
      </c>
    </row>
    <row r="72" spans="1:8" ht="14.25" thickTop="1" thickBot="1" x14ac:dyDescent="0.25">
      <c r="A72" s="38" t="s">
        <v>722</v>
      </c>
      <c r="B72" s="39" t="s">
        <v>711</v>
      </c>
      <c r="C72" s="40" t="s">
        <v>129</v>
      </c>
      <c r="D72" s="40">
        <v>10</v>
      </c>
      <c r="E72" s="41">
        <v>2794.1</v>
      </c>
      <c r="F72" s="41">
        <v>3073.6</v>
      </c>
      <c r="G72" s="42">
        <v>3395.4</v>
      </c>
      <c r="H72" s="37" t="s">
        <v>53</v>
      </c>
    </row>
    <row r="73" spans="1:8" ht="14.25" thickTop="1" thickBot="1" x14ac:dyDescent="0.25">
      <c r="A73" s="221" t="s">
        <v>723</v>
      </c>
      <c r="B73" s="222">
        <v>0</v>
      </c>
      <c r="C73" s="222">
        <v>0</v>
      </c>
      <c r="D73" s="222" t="e">
        <v>#REF!</v>
      </c>
      <c r="E73" s="222">
        <v>0</v>
      </c>
      <c r="F73" s="222">
        <v>0</v>
      </c>
      <c r="G73" s="223">
        <v>0</v>
      </c>
      <c r="H73" s="37" t="s">
        <v>44</v>
      </c>
    </row>
    <row r="74" spans="1:8" ht="14.25" thickTop="1" thickBot="1" x14ac:dyDescent="0.25">
      <c r="A74" s="38" t="s">
        <v>724</v>
      </c>
      <c r="B74" s="39" t="s">
        <v>695</v>
      </c>
      <c r="C74" s="40" t="s">
        <v>129</v>
      </c>
      <c r="D74" s="40">
        <v>10</v>
      </c>
      <c r="E74" s="41">
        <v>2331.4</v>
      </c>
      <c r="F74" s="41">
        <v>2563.9</v>
      </c>
      <c r="G74" s="42">
        <v>2833.1</v>
      </c>
      <c r="H74" s="37" t="s">
        <v>53</v>
      </c>
    </row>
    <row r="75" spans="1:8" ht="14.25" thickTop="1" thickBot="1" x14ac:dyDescent="0.25">
      <c r="A75" s="38" t="s">
        <v>725</v>
      </c>
      <c r="B75" s="39" t="s">
        <v>697</v>
      </c>
      <c r="C75" s="40" t="s">
        <v>129</v>
      </c>
      <c r="D75" s="40">
        <v>10</v>
      </c>
      <c r="E75" s="41">
        <v>893.5</v>
      </c>
      <c r="F75" s="41">
        <v>983.2</v>
      </c>
      <c r="G75" s="42">
        <v>1086.3</v>
      </c>
      <c r="H75" s="37" t="s">
        <v>53</v>
      </c>
    </row>
    <row r="76" spans="1:8" ht="14.25" thickTop="1" thickBot="1" x14ac:dyDescent="0.25">
      <c r="A76" s="221" t="s">
        <v>726</v>
      </c>
      <c r="B76" s="222">
        <v>0</v>
      </c>
      <c r="C76" s="222">
        <v>0</v>
      </c>
      <c r="D76" s="222" t="e">
        <v>#REF!</v>
      </c>
      <c r="E76" s="222">
        <v>0</v>
      </c>
      <c r="F76" s="222">
        <v>0</v>
      </c>
      <c r="G76" s="223">
        <v>0</v>
      </c>
      <c r="H76" s="37" t="s">
        <v>44</v>
      </c>
    </row>
    <row r="77" spans="1:8" ht="14.25" thickTop="1" thickBot="1" x14ac:dyDescent="0.25">
      <c r="A77" s="38" t="s">
        <v>727</v>
      </c>
      <c r="B77" s="39" t="s">
        <v>728</v>
      </c>
      <c r="C77" s="40" t="s">
        <v>129</v>
      </c>
      <c r="D77" s="40">
        <v>420</v>
      </c>
      <c r="E77" s="41">
        <v>172.1</v>
      </c>
      <c r="F77" s="41">
        <v>189.5</v>
      </c>
      <c r="G77" s="42">
        <v>209.5</v>
      </c>
      <c r="H77" s="37" t="s">
        <v>53</v>
      </c>
    </row>
    <row r="78" spans="1:8" ht="14.25" thickTop="1" thickBot="1" x14ac:dyDescent="0.25">
      <c r="A78" s="38" t="s">
        <v>729</v>
      </c>
      <c r="B78" s="39" t="s">
        <v>730</v>
      </c>
      <c r="C78" s="40" t="s">
        <v>129</v>
      </c>
      <c r="D78" s="40">
        <v>125</v>
      </c>
      <c r="E78" s="41">
        <v>227</v>
      </c>
      <c r="F78" s="41">
        <v>249.5</v>
      </c>
      <c r="G78" s="42">
        <v>275.8</v>
      </c>
      <c r="H78" s="37" t="s">
        <v>53</v>
      </c>
    </row>
    <row r="79" spans="1:8" ht="14.25" thickTop="1" thickBot="1" x14ac:dyDescent="0.25">
      <c r="A79" s="38" t="s">
        <v>731</v>
      </c>
      <c r="B79" s="39" t="s">
        <v>732</v>
      </c>
      <c r="C79" s="40" t="s">
        <v>129</v>
      </c>
      <c r="D79" s="40">
        <v>60</v>
      </c>
      <c r="E79" s="41">
        <v>466.9</v>
      </c>
      <c r="F79" s="41">
        <v>513.29999999999995</v>
      </c>
      <c r="G79" s="42">
        <v>567.29999999999995</v>
      </c>
      <c r="H79" s="37" t="s">
        <v>53</v>
      </c>
    </row>
    <row r="80" spans="1:8" ht="14.25" thickTop="1" thickBot="1" x14ac:dyDescent="0.25">
      <c r="A80" s="38" t="s">
        <v>733</v>
      </c>
      <c r="B80" s="39" t="s">
        <v>734</v>
      </c>
      <c r="C80" s="40" t="s">
        <v>129</v>
      </c>
      <c r="D80" s="40">
        <v>15</v>
      </c>
      <c r="E80" s="41">
        <v>466.9</v>
      </c>
      <c r="F80" s="41">
        <v>513.29999999999995</v>
      </c>
      <c r="G80" s="42">
        <v>567.29999999999995</v>
      </c>
      <c r="H80" s="37" t="s">
        <v>53</v>
      </c>
    </row>
    <row r="81" spans="1:8" ht="14.25" thickTop="1" thickBot="1" x14ac:dyDescent="0.25">
      <c r="A81" s="38" t="s">
        <v>735</v>
      </c>
      <c r="B81" s="39" t="s">
        <v>736</v>
      </c>
      <c r="C81" s="40" t="s">
        <v>129</v>
      </c>
      <c r="D81" s="40">
        <v>20</v>
      </c>
      <c r="E81" s="41">
        <v>583.5</v>
      </c>
      <c r="F81" s="41">
        <v>641.70000000000005</v>
      </c>
      <c r="G81" s="42">
        <v>709.1</v>
      </c>
      <c r="H81" s="37" t="s">
        <v>53</v>
      </c>
    </row>
    <row r="82" spans="1:8" ht="14.25" thickTop="1" thickBot="1" x14ac:dyDescent="0.25">
      <c r="A82" s="38" t="s">
        <v>737</v>
      </c>
      <c r="B82" s="39" t="s">
        <v>738</v>
      </c>
      <c r="C82" s="40" t="s">
        <v>129</v>
      </c>
      <c r="D82" s="40">
        <v>20</v>
      </c>
      <c r="E82" s="41">
        <v>583.5</v>
      </c>
      <c r="F82" s="41">
        <v>641.70000000000005</v>
      </c>
      <c r="G82" s="42">
        <v>709.1</v>
      </c>
      <c r="H82" s="37" t="s">
        <v>53</v>
      </c>
    </row>
    <row r="83" spans="1:8" ht="14.25" thickTop="1" thickBot="1" x14ac:dyDescent="0.25">
      <c r="A83" s="49" t="s">
        <v>739</v>
      </c>
      <c r="B83" s="50" t="s">
        <v>740</v>
      </c>
      <c r="C83" s="51" t="s">
        <v>129</v>
      </c>
      <c r="D83" s="51">
        <v>25</v>
      </c>
      <c r="E83" s="52">
        <v>891.5</v>
      </c>
      <c r="F83" s="52">
        <v>980.6</v>
      </c>
      <c r="G83" s="53">
        <v>1083.5999999999999</v>
      </c>
      <c r="H83" s="54" t="s">
        <v>53</v>
      </c>
    </row>
    <row r="84" spans="1:8" ht="13.5" thickTop="1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  <row r="87" spans="1:8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  <row r="91" spans="1:8" x14ac:dyDescent="0.2">
      <c r="A91" s="55"/>
      <c r="B91" s="56"/>
      <c r="C91" s="57"/>
      <c r="D91" s="57"/>
      <c r="E91" s="58"/>
      <c r="F91" s="58"/>
      <c r="G91" s="58"/>
      <c r="H91" s="59"/>
    </row>
    <row r="92" spans="1:8" x14ac:dyDescent="0.2">
      <c r="A92" s="55"/>
      <c r="B92" s="56"/>
      <c r="C92" s="57"/>
      <c r="D92" s="57"/>
      <c r="E92" s="58"/>
      <c r="F92" s="58"/>
      <c r="G92" s="58"/>
      <c r="H92" s="59"/>
    </row>
    <row r="93" spans="1:8" x14ac:dyDescent="0.2">
      <c r="A93" s="55"/>
      <c r="B93" s="56"/>
      <c r="C93" s="57"/>
      <c r="D93" s="57"/>
      <c r="E93" s="58"/>
      <c r="F93" s="58"/>
      <c r="G93" s="58"/>
      <c r="H93" s="59"/>
    </row>
    <row r="94" spans="1:8" x14ac:dyDescent="0.2">
      <c r="A94" s="55"/>
      <c r="B94" s="56"/>
      <c r="C94" s="57"/>
      <c r="D94" s="57"/>
      <c r="E94" s="58"/>
      <c r="F94" s="58"/>
      <c r="G94" s="58"/>
      <c r="H94" s="59"/>
    </row>
    <row r="95" spans="1:8" x14ac:dyDescent="0.2">
      <c r="A95" s="55"/>
      <c r="B95" s="56"/>
      <c r="C95" s="57"/>
      <c r="D95" s="57"/>
      <c r="E95" s="58"/>
      <c r="F95" s="58"/>
      <c r="G95" s="58"/>
      <c r="H95" s="59"/>
    </row>
    <row r="96" spans="1:8" x14ac:dyDescent="0.2">
      <c r="A96" s="55"/>
      <c r="B96" s="56"/>
      <c r="C96" s="57"/>
      <c r="D96" s="57"/>
      <c r="E96" s="58"/>
      <c r="F96" s="58"/>
      <c r="G96" s="58"/>
      <c r="H96" s="59"/>
    </row>
    <row r="97" spans="1:8" x14ac:dyDescent="0.2">
      <c r="A97" s="55"/>
      <c r="B97" s="56"/>
      <c r="C97" s="57"/>
      <c r="D97" s="57"/>
      <c r="E97" s="58"/>
      <c r="F97" s="58"/>
      <c r="G97" s="58"/>
      <c r="H97" s="59"/>
    </row>
    <row r="98" spans="1:8" x14ac:dyDescent="0.2">
      <c r="A98" s="55"/>
      <c r="B98" s="56"/>
      <c r="C98" s="57"/>
      <c r="D98" s="57"/>
      <c r="E98" s="58"/>
      <c r="F98" s="58"/>
      <c r="G98" s="58"/>
      <c r="H98" s="59"/>
    </row>
    <row r="99" spans="1:8" x14ac:dyDescent="0.2">
      <c r="A99" s="55"/>
      <c r="B99" s="56"/>
      <c r="C99" s="57"/>
      <c r="D99" s="57"/>
      <c r="E99" s="58"/>
      <c r="F99" s="58"/>
      <c r="G99" s="58"/>
      <c r="H99" s="59"/>
    </row>
    <row r="100" spans="1:8" x14ac:dyDescent="0.2">
      <c r="A100" s="55"/>
      <c r="B100" s="56"/>
      <c r="C100" s="57"/>
      <c r="D100" s="57"/>
      <c r="E100" s="58"/>
      <c r="F100" s="58"/>
      <c r="G100" s="58"/>
      <c r="H100" s="59"/>
    </row>
    <row r="101" spans="1:8" x14ac:dyDescent="0.2">
      <c r="A101" s="55"/>
      <c r="B101" s="56"/>
      <c r="C101" s="57"/>
      <c r="D101" s="57"/>
      <c r="E101" s="58"/>
      <c r="F101" s="58"/>
      <c r="G101" s="58"/>
      <c r="H101" s="59"/>
    </row>
    <row r="102" spans="1:8" x14ac:dyDescent="0.2">
      <c r="A102" s="55"/>
      <c r="B102" s="56"/>
      <c r="C102" s="57"/>
      <c r="D102" s="57"/>
      <c r="E102" s="58"/>
      <c r="F102" s="58"/>
      <c r="G102" s="58"/>
      <c r="H102" s="59"/>
    </row>
    <row r="103" spans="1:8" x14ac:dyDescent="0.2">
      <c r="A103" s="55"/>
      <c r="B103" s="56"/>
      <c r="C103" s="57"/>
      <c r="D103" s="57"/>
      <c r="E103" s="58"/>
      <c r="F103" s="58"/>
      <c r="G103" s="58"/>
      <c r="H103" s="59"/>
    </row>
    <row r="104" spans="1:8" x14ac:dyDescent="0.2">
      <c r="A104" s="55"/>
      <c r="B104" s="56"/>
      <c r="C104" s="57"/>
      <c r="D104" s="57"/>
      <c r="E104" s="58"/>
      <c r="F104" s="58"/>
      <c r="G104" s="58"/>
      <c r="H104" s="59"/>
    </row>
    <row r="105" spans="1:8" x14ac:dyDescent="0.2">
      <c r="A105" s="55"/>
      <c r="B105" s="56"/>
      <c r="C105" s="57"/>
      <c r="D105" s="57"/>
      <c r="E105" s="58"/>
      <c r="F105" s="58"/>
      <c r="G105" s="58"/>
      <c r="H105" s="59"/>
    </row>
    <row r="106" spans="1:8" x14ac:dyDescent="0.2">
      <c r="A106" s="55"/>
      <c r="B106" s="56"/>
      <c r="C106" s="57"/>
      <c r="D106" s="57"/>
      <c r="E106" s="58"/>
      <c r="F106" s="58"/>
      <c r="G106" s="58"/>
      <c r="H106" s="59"/>
    </row>
    <row r="107" spans="1:8" x14ac:dyDescent="0.2">
      <c r="A107" s="55"/>
      <c r="B107" s="56"/>
      <c r="C107" s="57"/>
      <c r="D107" s="57"/>
      <c r="E107" s="58"/>
      <c r="F107" s="58"/>
      <c r="G107" s="58"/>
      <c r="H107" s="59"/>
    </row>
    <row r="108" spans="1:8" x14ac:dyDescent="0.2">
      <c r="A108" s="55"/>
      <c r="B108" s="56"/>
      <c r="C108" s="57"/>
      <c r="D108" s="57"/>
      <c r="E108" s="58"/>
      <c r="F108" s="58"/>
      <c r="G108" s="58"/>
      <c r="H108" s="59"/>
    </row>
    <row r="109" spans="1:8" x14ac:dyDescent="0.2">
      <c r="A109" s="55"/>
      <c r="B109" s="56"/>
      <c r="C109" s="57"/>
      <c r="D109" s="57"/>
      <c r="E109" s="58"/>
      <c r="F109" s="58"/>
      <c r="G109" s="58"/>
      <c r="H109" s="59"/>
    </row>
    <row r="110" spans="1:8" x14ac:dyDescent="0.2">
      <c r="A110" s="55"/>
      <c r="B110" s="56"/>
      <c r="C110" s="57"/>
      <c r="D110" s="57"/>
      <c r="E110" s="58"/>
      <c r="F110" s="58"/>
      <c r="G110" s="58"/>
      <c r="H110" s="59"/>
    </row>
    <row r="111" spans="1:8" x14ac:dyDescent="0.2">
      <c r="A111" s="55"/>
      <c r="B111" s="56"/>
      <c r="C111" s="57"/>
      <c r="D111" s="57"/>
      <c r="E111" s="58"/>
      <c r="F111" s="58"/>
      <c r="G111" s="58"/>
      <c r="H111" s="59"/>
    </row>
    <row r="112" spans="1:8" x14ac:dyDescent="0.2">
      <c r="A112" s="55"/>
      <c r="B112" s="56"/>
      <c r="C112" s="57"/>
      <c r="D112" s="57"/>
      <c r="E112" s="58"/>
      <c r="F112" s="58"/>
      <c r="G112" s="58"/>
      <c r="H112" s="59"/>
    </row>
    <row r="113" spans="1:8" x14ac:dyDescent="0.2">
      <c r="A113" s="55"/>
      <c r="B113" s="56"/>
      <c r="C113" s="57"/>
      <c r="D113" s="57"/>
      <c r="E113" s="58"/>
      <c r="F113" s="58"/>
      <c r="G113" s="58"/>
      <c r="H113" s="59"/>
    </row>
    <row r="114" spans="1:8" x14ac:dyDescent="0.2">
      <c r="A114" s="55"/>
      <c r="B114" s="56"/>
      <c r="C114" s="57"/>
      <c r="D114" s="57"/>
      <c r="E114" s="58"/>
      <c r="F114" s="58"/>
      <c r="G114" s="58"/>
      <c r="H114" s="59"/>
    </row>
    <row r="115" spans="1:8" x14ac:dyDescent="0.2">
      <c r="A115" s="55"/>
      <c r="B115" s="56"/>
      <c r="C115" s="57"/>
      <c r="D115" s="57"/>
      <c r="E115" s="58"/>
      <c r="F115" s="58"/>
      <c r="G115" s="58"/>
      <c r="H115" s="59"/>
    </row>
    <row r="116" spans="1:8" x14ac:dyDescent="0.2">
      <c r="A116" s="55"/>
      <c r="B116" s="56"/>
      <c r="C116" s="57"/>
      <c r="D116" s="57"/>
      <c r="E116" s="58"/>
      <c r="F116" s="58"/>
      <c r="G116" s="58"/>
      <c r="H116" s="59"/>
    </row>
    <row r="117" spans="1:8" x14ac:dyDescent="0.2">
      <c r="A117" s="55"/>
      <c r="B117" s="56"/>
      <c r="C117" s="57"/>
      <c r="D117" s="57"/>
      <c r="E117" s="58"/>
      <c r="F117" s="58"/>
      <c r="G117" s="58"/>
      <c r="H117" s="59"/>
    </row>
    <row r="118" spans="1:8" x14ac:dyDescent="0.2">
      <c r="A118" s="55"/>
      <c r="B118" s="56"/>
      <c r="C118" s="57"/>
      <c r="D118" s="57"/>
      <c r="E118" s="58"/>
      <c r="F118" s="58"/>
      <c r="G118" s="58"/>
      <c r="H118" s="59"/>
    </row>
    <row r="119" spans="1:8" x14ac:dyDescent="0.2">
      <c r="A119" s="55"/>
      <c r="B119" s="56"/>
      <c r="C119" s="57"/>
      <c r="D119" s="57"/>
      <c r="E119" s="58"/>
      <c r="F119" s="58"/>
      <c r="G119" s="58"/>
      <c r="H119" s="59"/>
    </row>
    <row r="120" spans="1:8" x14ac:dyDescent="0.2">
      <c r="A120" s="55"/>
      <c r="B120" s="56"/>
      <c r="C120" s="57"/>
      <c r="D120" s="57"/>
      <c r="E120" s="58"/>
      <c r="F120" s="58"/>
      <c r="G120" s="58"/>
      <c r="H120" s="59"/>
    </row>
    <row r="121" spans="1:8" x14ac:dyDescent="0.2">
      <c r="A121" s="55"/>
      <c r="B121" s="56"/>
      <c r="C121" s="57"/>
      <c r="D121" s="57"/>
      <c r="E121" s="58"/>
      <c r="F121" s="58"/>
      <c r="G121" s="58"/>
      <c r="H121" s="59"/>
    </row>
    <row r="122" spans="1:8" x14ac:dyDescent="0.2">
      <c r="A122" s="55"/>
      <c r="B122" s="56"/>
      <c r="C122" s="57"/>
      <c r="D122" s="57"/>
      <c r="E122" s="58"/>
      <c r="F122" s="58"/>
      <c r="G122" s="58"/>
      <c r="H122" s="59"/>
    </row>
    <row r="123" spans="1:8" x14ac:dyDescent="0.2">
      <c r="A123" s="55"/>
      <c r="B123" s="56"/>
      <c r="C123" s="57"/>
      <c r="D123" s="57"/>
      <c r="E123" s="58"/>
      <c r="F123" s="58"/>
      <c r="G123" s="58"/>
      <c r="H123" s="59"/>
    </row>
    <row r="124" spans="1:8" x14ac:dyDescent="0.2">
      <c r="A124" s="55"/>
      <c r="B124" s="56"/>
      <c r="C124" s="57"/>
      <c r="D124" s="57"/>
      <c r="E124" s="58"/>
      <c r="F124" s="58"/>
      <c r="G124" s="58"/>
      <c r="H124" s="59"/>
    </row>
    <row r="125" spans="1:8" x14ac:dyDescent="0.2">
      <c r="A125" s="55"/>
      <c r="B125" s="56"/>
      <c r="C125" s="57"/>
      <c r="D125" s="57"/>
      <c r="E125" s="58"/>
      <c r="F125" s="58"/>
      <c r="G125" s="58"/>
      <c r="H125" s="59"/>
    </row>
    <row r="126" spans="1:8" x14ac:dyDescent="0.2">
      <c r="A126" s="55"/>
      <c r="B126" s="56"/>
      <c r="C126" s="57"/>
      <c r="D126" s="57"/>
      <c r="E126" s="58"/>
      <c r="F126" s="58"/>
      <c r="G126" s="58"/>
      <c r="H126" s="59"/>
    </row>
    <row r="127" spans="1:8" x14ac:dyDescent="0.2">
      <c r="A127" s="55"/>
      <c r="B127" s="56"/>
      <c r="C127" s="57"/>
      <c r="D127" s="57"/>
      <c r="E127" s="58"/>
      <c r="F127" s="58"/>
      <c r="G127" s="58"/>
      <c r="H127" s="59"/>
    </row>
    <row r="128" spans="1:8" x14ac:dyDescent="0.2">
      <c r="A128" s="55"/>
      <c r="B128" s="56"/>
      <c r="C128" s="57"/>
      <c r="D128" s="57"/>
      <c r="E128" s="58"/>
      <c r="F128" s="58"/>
      <c r="G128" s="58"/>
      <c r="H128" s="59"/>
    </row>
  </sheetData>
  <mergeCells count="18">
    <mergeCell ref="A1:B1"/>
    <mergeCell ref="A2:A3"/>
    <mergeCell ref="B2:B3"/>
    <mergeCell ref="C2:C3"/>
    <mergeCell ref="D2:D3"/>
    <mergeCell ref="A76:G76"/>
    <mergeCell ref="G2:G3"/>
    <mergeCell ref="H2:H3"/>
    <mergeCell ref="A7:G7"/>
    <mergeCell ref="A8:G8"/>
    <mergeCell ref="A12:G12"/>
    <mergeCell ref="A44:G44"/>
    <mergeCell ref="E2:F2"/>
    <mergeCell ref="A46:G46"/>
    <mergeCell ref="A54:G54"/>
    <mergeCell ref="A65:G65"/>
    <mergeCell ref="A67:G67"/>
    <mergeCell ref="A73:G73"/>
  </mergeCells>
  <phoneticPr fontId="0" type="noConversion"/>
  <conditionalFormatting sqref="C9:D11 C57:D64 C37:D40 C15:D31 C66:D66 C77:D83 C74:D75 C47:D50 C42:D43 C68:D72 C1:C2 D1:D3">
    <cfRule type="cellIs" dxfId="180" priority="26" stopIfTrue="1" operator="equal">
      <formula>0</formula>
    </cfRule>
  </conditionalFormatting>
  <conditionalFormatting sqref="C51:D51">
    <cfRule type="cellIs" dxfId="179" priority="25" stopIfTrue="1" operator="equal">
      <formula>0</formula>
    </cfRule>
  </conditionalFormatting>
  <conditionalFormatting sqref="C52:D52">
    <cfRule type="cellIs" dxfId="178" priority="24" stopIfTrue="1" operator="equal">
      <formula>0</formula>
    </cfRule>
  </conditionalFormatting>
  <conditionalFormatting sqref="C53:D53">
    <cfRule type="cellIs" dxfId="177" priority="23" stopIfTrue="1" operator="equal">
      <formula>0</formula>
    </cfRule>
  </conditionalFormatting>
  <conditionalFormatting sqref="C32:D32">
    <cfRule type="cellIs" dxfId="176" priority="22" stopIfTrue="1" operator="equal">
      <formula>0</formula>
    </cfRule>
  </conditionalFormatting>
  <conditionalFormatting sqref="C34:D34">
    <cfRule type="cellIs" dxfId="175" priority="21" stopIfTrue="1" operator="equal">
      <formula>0</formula>
    </cfRule>
  </conditionalFormatting>
  <conditionalFormatting sqref="C35:D35">
    <cfRule type="cellIs" dxfId="174" priority="20" stopIfTrue="1" operator="equal">
      <formula>0</formula>
    </cfRule>
  </conditionalFormatting>
  <conditionalFormatting sqref="C41:D41">
    <cfRule type="cellIs" dxfId="173" priority="19" stopIfTrue="1" operator="equal">
      <formula>0</formula>
    </cfRule>
  </conditionalFormatting>
  <conditionalFormatting sqref="C36:D36">
    <cfRule type="cellIs" dxfId="172" priority="18" stopIfTrue="1" operator="equal">
      <formula>0</formula>
    </cfRule>
  </conditionalFormatting>
  <conditionalFormatting sqref="C13:D13">
    <cfRule type="cellIs" dxfId="171" priority="17" stopIfTrue="1" operator="equal">
      <formula>0</formula>
    </cfRule>
  </conditionalFormatting>
  <conditionalFormatting sqref="C14:D14">
    <cfRule type="cellIs" dxfId="170" priority="16" stopIfTrue="1" operator="equal">
      <formula>0</formula>
    </cfRule>
  </conditionalFormatting>
  <conditionalFormatting sqref="C33:D33">
    <cfRule type="cellIs" dxfId="169" priority="15" stopIfTrue="1" operator="equal">
      <formula>0</formula>
    </cfRule>
  </conditionalFormatting>
  <conditionalFormatting sqref="C7:D7">
    <cfRule type="cellIs" dxfId="168" priority="14" stopIfTrue="1" operator="equal">
      <formula>0</formula>
    </cfRule>
  </conditionalFormatting>
  <conditionalFormatting sqref="C8:D8">
    <cfRule type="cellIs" dxfId="167" priority="13" stopIfTrue="1" operator="equal">
      <formula>0</formula>
    </cfRule>
  </conditionalFormatting>
  <conditionalFormatting sqref="C12:D12">
    <cfRule type="cellIs" dxfId="166" priority="12" stopIfTrue="1" operator="equal">
      <formula>0</formula>
    </cfRule>
  </conditionalFormatting>
  <conditionalFormatting sqref="C44:D44">
    <cfRule type="cellIs" dxfId="165" priority="11" stopIfTrue="1" operator="equal">
      <formula>0</formula>
    </cfRule>
  </conditionalFormatting>
  <conditionalFormatting sqref="C46:D46">
    <cfRule type="cellIs" dxfId="164" priority="10" stopIfTrue="1" operator="equal">
      <formula>0</formula>
    </cfRule>
  </conditionalFormatting>
  <conditionalFormatting sqref="C54:D54">
    <cfRule type="cellIs" dxfId="163" priority="9" stopIfTrue="1" operator="equal">
      <formula>0</formula>
    </cfRule>
  </conditionalFormatting>
  <conditionalFormatting sqref="C65:D65">
    <cfRule type="cellIs" dxfId="162" priority="8" stopIfTrue="1" operator="equal">
      <formula>0</formula>
    </cfRule>
  </conditionalFormatting>
  <conditionalFormatting sqref="C67:D67">
    <cfRule type="cellIs" dxfId="161" priority="7" stopIfTrue="1" operator="equal">
      <formula>0</formula>
    </cfRule>
  </conditionalFormatting>
  <conditionalFormatting sqref="C73:D73">
    <cfRule type="cellIs" dxfId="160" priority="6" stopIfTrue="1" operator="equal">
      <formula>0</formula>
    </cfRule>
  </conditionalFormatting>
  <conditionalFormatting sqref="C76:D76">
    <cfRule type="cellIs" dxfId="159" priority="5" stopIfTrue="1" operator="equal">
      <formula>0</formula>
    </cfRule>
  </conditionalFormatting>
  <conditionalFormatting sqref="C55:D55">
    <cfRule type="cellIs" dxfId="158" priority="4" stopIfTrue="1" operator="equal">
      <formula>0</formula>
    </cfRule>
  </conditionalFormatting>
  <conditionalFormatting sqref="C56:D56">
    <cfRule type="cellIs" dxfId="157" priority="3" stopIfTrue="1" operator="equal">
      <formula>0</formula>
    </cfRule>
  </conditionalFormatting>
  <conditionalFormatting sqref="C45:D45">
    <cfRule type="cellIs" dxfId="156" priority="2" stopIfTrue="1" operator="equal">
      <formula>0</formula>
    </cfRule>
  </conditionalFormatting>
  <conditionalFormatting sqref="C84:D128">
    <cfRule type="cellIs" dxfId="155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3" fitToHeight="4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H90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2.5703125" customWidth="1"/>
    <col min="2" max="2" width="88.5703125" customWidth="1"/>
    <col min="3" max="3" width="10.85546875" customWidth="1"/>
    <col min="4" max="4" width="9.42578125" customWidth="1"/>
    <col min="5" max="5" width="10.85546875" customWidth="1"/>
    <col min="6" max="6" width="10.5703125" customWidth="1"/>
    <col min="7" max="7" width="10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8.95" customHeight="1" thickTop="1" thickBot="1" x14ac:dyDescent="0.25">
      <c r="A4" s="266" t="s">
        <v>741</v>
      </c>
      <c r="B4" s="267">
        <v>0</v>
      </c>
      <c r="C4" s="267">
        <v>0</v>
      </c>
      <c r="D4" s="267">
        <v>0</v>
      </c>
      <c r="E4" s="267">
        <v>0</v>
      </c>
      <c r="F4" s="267">
        <v>0</v>
      </c>
      <c r="G4" s="267">
        <v>0</v>
      </c>
      <c r="H4" s="102" t="s">
        <v>44</v>
      </c>
    </row>
    <row r="5" spans="1:8" ht="18.95" customHeight="1" thickTop="1" thickBot="1" x14ac:dyDescent="0.25">
      <c r="A5" s="266">
        <v>0</v>
      </c>
      <c r="B5" s="267">
        <v>0</v>
      </c>
      <c r="C5" s="267">
        <v>0</v>
      </c>
      <c r="D5" s="267">
        <v>0</v>
      </c>
      <c r="E5" s="267">
        <v>0</v>
      </c>
      <c r="F5" s="267">
        <v>0</v>
      </c>
      <c r="G5" s="267">
        <v>0</v>
      </c>
      <c r="H5" s="102" t="s">
        <v>44</v>
      </c>
    </row>
    <row r="6" spans="1:8" ht="40.5" customHeight="1" thickTop="1" thickBot="1" x14ac:dyDescent="0.25">
      <c r="A6" s="266" t="s">
        <v>742</v>
      </c>
      <c r="B6" s="267">
        <v>0</v>
      </c>
      <c r="C6" s="267">
        <v>0</v>
      </c>
      <c r="D6" s="267">
        <v>0</v>
      </c>
      <c r="E6" s="267">
        <v>0</v>
      </c>
      <c r="F6" s="267">
        <v>0</v>
      </c>
      <c r="G6" s="267">
        <v>0</v>
      </c>
      <c r="H6" s="102" t="s">
        <v>44</v>
      </c>
    </row>
    <row r="7" spans="1:8" ht="18.95" customHeight="1" thickTop="1" thickBot="1" x14ac:dyDescent="0.25">
      <c r="A7" s="232" t="s">
        <v>743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744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745</v>
      </c>
      <c r="B9" s="39" t="s">
        <v>746</v>
      </c>
      <c r="C9" s="40" t="s">
        <v>129</v>
      </c>
      <c r="D9" s="40">
        <v>240</v>
      </c>
      <c r="E9" s="41">
        <v>211.7</v>
      </c>
      <c r="F9" s="41">
        <v>232.6</v>
      </c>
      <c r="G9" s="42">
        <v>256.89999999999998</v>
      </c>
      <c r="H9" s="37" t="s">
        <v>50</v>
      </c>
    </row>
    <row r="10" spans="1:8" ht="18.95" customHeight="1" thickTop="1" thickBot="1" x14ac:dyDescent="0.25">
      <c r="A10" s="38" t="s">
        <v>747</v>
      </c>
      <c r="B10" s="39" t="s">
        <v>748</v>
      </c>
      <c r="C10" s="40" t="s">
        <v>129</v>
      </c>
      <c r="D10" s="40">
        <v>240</v>
      </c>
      <c r="E10" s="41">
        <v>213.2</v>
      </c>
      <c r="F10" s="41">
        <v>234.6</v>
      </c>
      <c r="G10" s="42">
        <v>258.3</v>
      </c>
      <c r="H10" s="37" t="s">
        <v>50</v>
      </c>
    </row>
    <row r="11" spans="1:8" ht="18.95" customHeight="1" thickTop="1" thickBot="1" x14ac:dyDescent="0.25">
      <c r="A11" s="38" t="s">
        <v>749</v>
      </c>
      <c r="B11" s="39" t="s">
        <v>750</v>
      </c>
      <c r="C11" s="40" t="s">
        <v>129</v>
      </c>
      <c r="D11" s="40">
        <v>100</v>
      </c>
      <c r="E11" s="41">
        <v>369.2</v>
      </c>
      <c r="F11" s="41">
        <v>406.2</v>
      </c>
      <c r="G11" s="42">
        <v>449.1</v>
      </c>
      <c r="H11" s="37" t="s">
        <v>50</v>
      </c>
    </row>
    <row r="12" spans="1:8" ht="18.95" customHeight="1" thickTop="1" thickBot="1" x14ac:dyDescent="0.25">
      <c r="A12" s="38" t="s">
        <v>751</v>
      </c>
      <c r="B12" s="39" t="s">
        <v>752</v>
      </c>
      <c r="C12" s="40" t="s">
        <v>129</v>
      </c>
      <c r="D12" s="40">
        <v>15</v>
      </c>
      <c r="E12" s="41">
        <v>469.8</v>
      </c>
      <c r="F12" s="41">
        <v>517.20000000000005</v>
      </c>
      <c r="G12" s="42">
        <v>571.20000000000005</v>
      </c>
      <c r="H12" s="37" t="s">
        <v>50</v>
      </c>
    </row>
    <row r="13" spans="1:8" ht="18.95" customHeight="1" thickTop="1" thickBot="1" x14ac:dyDescent="0.25">
      <c r="A13" s="38" t="s">
        <v>753</v>
      </c>
      <c r="B13" s="39" t="s">
        <v>754</v>
      </c>
      <c r="C13" s="40" t="s">
        <v>129</v>
      </c>
      <c r="D13" s="40">
        <v>100</v>
      </c>
      <c r="E13" s="41">
        <v>974.2</v>
      </c>
      <c r="F13" s="41">
        <v>1071.8</v>
      </c>
      <c r="G13" s="42">
        <v>1183.8</v>
      </c>
      <c r="H13" s="37" t="s">
        <v>50</v>
      </c>
    </row>
    <row r="14" spans="1:8" ht="18.95" customHeight="1" thickTop="1" thickBot="1" x14ac:dyDescent="0.25">
      <c r="A14" s="221" t="s">
        <v>755</v>
      </c>
      <c r="B14" s="222">
        <v>0</v>
      </c>
      <c r="C14" s="222">
        <v>0</v>
      </c>
      <c r="D14" s="222">
        <v>0</v>
      </c>
      <c r="E14" s="222">
        <v>0</v>
      </c>
      <c r="F14" s="222">
        <v>0</v>
      </c>
      <c r="G14" s="223">
        <v>0</v>
      </c>
      <c r="H14" s="37" t="s">
        <v>44</v>
      </c>
    </row>
    <row r="15" spans="1:8" ht="18.95" customHeight="1" thickTop="1" thickBot="1" x14ac:dyDescent="0.25">
      <c r="A15" s="38" t="s">
        <v>756</v>
      </c>
      <c r="B15" s="39" t="s">
        <v>757</v>
      </c>
      <c r="C15" s="40" t="s">
        <v>129</v>
      </c>
      <c r="D15" s="40">
        <v>240</v>
      </c>
      <c r="E15" s="41">
        <v>282.2</v>
      </c>
      <c r="F15" s="41">
        <v>310.89999999999998</v>
      </c>
      <c r="G15" s="42">
        <v>339.5</v>
      </c>
      <c r="H15" s="37" t="s">
        <v>53</v>
      </c>
    </row>
    <row r="16" spans="1:8" ht="18.95" customHeight="1" thickTop="1" thickBot="1" x14ac:dyDescent="0.25">
      <c r="A16" s="38" t="s">
        <v>758</v>
      </c>
      <c r="B16" s="39" t="s">
        <v>759</v>
      </c>
      <c r="C16" s="40" t="s">
        <v>129</v>
      </c>
      <c r="D16" s="40">
        <v>180</v>
      </c>
      <c r="E16" s="41">
        <v>416.8</v>
      </c>
      <c r="F16" s="41">
        <v>458.5</v>
      </c>
      <c r="G16" s="42">
        <v>501.4</v>
      </c>
      <c r="H16" s="37" t="s">
        <v>53</v>
      </c>
    </row>
    <row r="17" spans="1:8" ht="18.95" customHeight="1" thickTop="1" thickBot="1" x14ac:dyDescent="0.25">
      <c r="A17" s="38" t="s">
        <v>760</v>
      </c>
      <c r="B17" s="39" t="s">
        <v>761</v>
      </c>
      <c r="C17" s="40" t="s">
        <v>129</v>
      </c>
      <c r="D17" s="40">
        <v>120</v>
      </c>
      <c r="E17" s="41">
        <v>416.8</v>
      </c>
      <c r="F17" s="41">
        <v>458.5</v>
      </c>
      <c r="G17" s="42">
        <v>501.4</v>
      </c>
      <c r="H17" s="37" t="s">
        <v>53</v>
      </c>
    </row>
    <row r="18" spans="1:8" ht="18.95" customHeight="1" thickTop="1" thickBot="1" x14ac:dyDescent="0.25">
      <c r="A18" s="38" t="s">
        <v>762</v>
      </c>
      <c r="B18" s="39" t="s">
        <v>763</v>
      </c>
      <c r="C18" s="40" t="s">
        <v>129</v>
      </c>
      <c r="D18" s="40">
        <v>240</v>
      </c>
      <c r="E18" s="41">
        <v>295.39999999999998</v>
      </c>
      <c r="F18" s="41">
        <v>324</v>
      </c>
      <c r="G18" s="42">
        <v>353.7</v>
      </c>
      <c r="H18" s="37" t="s">
        <v>53</v>
      </c>
    </row>
    <row r="19" spans="1:8" ht="18.95" customHeight="1" thickTop="1" thickBot="1" x14ac:dyDescent="0.25">
      <c r="A19" s="38" t="s">
        <v>764</v>
      </c>
      <c r="B19" s="39" t="s">
        <v>765</v>
      </c>
      <c r="C19" s="40" t="s">
        <v>129</v>
      </c>
      <c r="D19" s="40">
        <v>180</v>
      </c>
      <c r="E19" s="41">
        <v>327.60000000000002</v>
      </c>
      <c r="F19" s="41">
        <v>359.7</v>
      </c>
      <c r="G19" s="42">
        <v>392.9</v>
      </c>
      <c r="H19" s="37" t="s">
        <v>53</v>
      </c>
    </row>
    <row r="20" spans="1:8" ht="18.95" customHeight="1" thickTop="1" thickBot="1" x14ac:dyDescent="0.25">
      <c r="A20" s="38" t="s">
        <v>766</v>
      </c>
      <c r="B20" s="39" t="s">
        <v>767</v>
      </c>
      <c r="C20" s="40" t="s">
        <v>129</v>
      </c>
      <c r="D20" s="40">
        <v>144</v>
      </c>
      <c r="E20" s="41">
        <v>360.9</v>
      </c>
      <c r="F20" s="41">
        <v>396.7</v>
      </c>
      <c r="G20" s="42">
        <v>432.4</v>
      </c>
      <c r="H20" s="37" t="s">
        <v>53</v>
      </c>
    </row>
    <row r="21" spans="1:8" ht="18.95" customHeight="1" thickTop="1" thickBot="1" x14ac:dyDescent="0.25">
      <c r="A21" s="38" t="s">
        <v>768</v>
      </c>
      <c r="B21" s="39" t="s">
        <v>769</v>
      </c>
      <c r="C21" s="40" t="s">
        <v>129</v>
      </c>
      <c r="D21" s="40">
        <v>240</v>
      </c>
      <c r="E21" s="41">
        <v>416.8</v>
      </c>
      <c r="F21" s="41">
        <v>458.5</v>
      </c>
      <c r="G21" s="42">
        <v>501.4</v>
      </c>
      <c r="H21" s="37" t="s">
        <v>50</v>
      </c>
    </row>
    <row r="22" spans="1:8" ht="18.95" customHeight="1" thickTop="1" thickBot="1" x14ac:dyDescent="0.25">
      <c r="A22" s="221" t="s">
        <v>770</v>
      </c>
      <c r="B22" s="222">
        <v>0</v>
      </c>
      <c r="C22" s="222">
        <v>0</v>
      </c>
      <c r="D22" s="222">
        <v>0</v>
      </c>
      <c r="E22" s="222">
        <v>0</v>
      </c>
      <c r="F22" s="222">
        <v>0</v>
      </c>
      <c r="G22" s="223">
        <v>0</v>
      </c>
      <c r="H22" s="37" t="s">
        <v>44</v>
      </c>
    </row>
    <row r="23" spans="1:8" ht="18.95" customHeight="1" thickTop="1" thickBot="1" x14ac:dyDescent="0.25">
      <c r="A23" s="38" t="s">
        <v>771</v>
      </c>
      <c r="B23" s="39" t="s">
        <v>772</v>
      </c>
      <c r="C23" s="40" t="s">
        <v>129</v>
      </c>
      <c r="D23" s="40">
        <v>100</v>
      </c>
      <c r="E23" s="41">
        <v>315.60000000000002</v>
      </c>
      <c r="F23" s="41">
        <v>346.5</v>
      </c>
      <c r="G23" s="42">
        <v>383.4</v>
      </c>
      <c r="H23" s="37" t="s">
        <v>53</v>
      </c>
    </row>
    <row r="24" spans="1:8" ht="18.95" customHeight="1" thickTop="1" thickBot="1" x14ac:dyDescent="0.25">
      <c r="A24" s="38" t="s">
        <v>773</v>
      </c>
      <c r="B24" s="39" t="s">
        <v>774</v>
      </c>
      <c r="C24" s="40" t="s">
        <v>129</v>
      </c>
      <c r="D24" s="40">
        <v>240</v>
      </c>
      <c r="E24" s="41">
        <v>278.8</v>
      </c>
      <c r="F24" s="41">
        <v>306.10000000000002</v>
      </c>
      <c r="G24" s="42">
        <v>338.3</v>
      </c>
      <c r="H24" s="37" t="s">
        <v>53</v>
      </c>
    </row>
    <row r="25" spans="1:8" ht="18.95" customHeight="1" thickTop="1" thickBot="1" x14ac:dyDescent="0.25">
      <c r="A25" s="38" t="s">
        <v>775</v>
      </c>
      <c r="B25" s="39" t="s">
        <v>748</v>
      </c>
      <c r="C25" s="40" t="s">
        <v>129</v>
      </c>
      <c r="D25" s="40">
        <v>200</v>
      </c>
      <c r="E25" s="41">
        <v>315.60000000000002</v>
      </c>
      <c r="F25" s="41">
        <v>346.5</v>
      </c>
      <c r="G25" s="42">
        <v>383.4</v>
      </c>
      <c r="H25" s="37" t="s">
        <v>53</v>
      </c>
    </row>
    <row r="26" spans="1:8" ht="18.95" customHeight="1" thickTop="1" thickBot="1" x14ac:dyDescent="0.25">
      <c r="A26" s="38" t="s">
        <v>776</v>
      </c>
      <c r="B26" s="39" t="s">
        <v>777</v>
      </c>
      <c r="C26" s="40" t="s">
        <v>129</v>
      </c>
      <c r="D26" s="40">
        <v>120</v>
      </c>
      <c r="E26" s="41">
        <v>480.1</v>
      </c>
      <c r="F26" s="41">
        <v>528.79999999999995</v>
      </c>
      <c r="G26" s="42">
        <v>583.6</v>
      </c>
      <c r="H26" s="37" t="s">
        <v>53</v>
      </c>
    </row>
    <row r="27" spans="1:8" ht="18.95" customHeight="1" thickTop="1" thickBot="1" x14ac:dyDescent="0.25">
      <c r="A27" s="38" t="s">
        <v>778</v>
      </c>
      <c r="B27" s="39" t="s">
        <v>779</v>
      </c>
      <c r="C27" s="40" t="s">
        <v>129</v>
      </c>
      <c r="D27" s="40">
        <v>120</v>
      </c>
      <c r="E27" s="41">
        <v>593.1</v>
      </c>
      <c r="F27" s="41">
        <v>652.6</v>
      </c>
      <c r="G27" s="42">
        <v>720.6</v>
      </c>
      <c r="H27" s="37" t="s">
        <v>53</v>
      </c>
    </row>
    <row r="28" spans="1:8" ht="18.95" customHeight="1" thickTop="1" thickBot="1" x14ac:dyDescent="0.25">
      <c r="A28" s="38" t="s">
        <v>780</v>
      </c>
      <c r="B28" s="39" t="s">
        <v>781</v>
      </c>
      <c r="C28" s="40" t="s">
        <v>129</v>
      </c>
      <c r="D28" s="40">
        <v>240</v>
      </c>
      <c r="E28" s="41">
        <v>725.2</v>
      </c>
      <c r="F28" s="41">
        <v>797.9</v>
      </c>
      <c r="G28" s="42">
        <v>881.2</v>
      </c>
      <c r="H28" s="37" t="s">
        <v>53</v>
      </c>
    </row>
    <row r="29" spans="1:8" ht="18.95" customHeight="1" thickTop="1" thickBot="1" x14ac:dyDescent="0.25">
      <c r="A29" s="38" t="s">
        <v>782</v>
      </c>
      <c r="B29" s="39" t="s">
        <v>783</v>
      </c>
      <c r="C29" s="40" t="s">
        <v>129</v>
      </c>
      <c r="D29" s="40">
        <v>130</v>
      </c>
      <c r="E29" s="41">
        <v>1070.7</v>
      </c>
      <c r="F29" s="41">
        <v>1177.8</v>
      </c>
      <c r="G29" s="42">
        <v>1300.5</v>
      </c>
      <c r="H29" s="37" t="s">
        <v>53</v>
      </c>
    </row>
    <row r="30" spans="1:8" ht="18.95" customHeight="1" thickTop="1" thickBot="1" x14ac:dyDescent="0.25">
      <c r="A30" s="38" t="s">
        <v>784</v>
      </c>
      <c r="B30" s="39" t="s">
        <v>785</v>
      </c>
      <c r="C30" s="40" t="s">
        <v>129</v>
      </c>
      <c r="D30" s="40">
        <v>240</v>
      </c>
      <c r="E30" s="41">
        <v>320.3</v>
      </c>
      <c r="F30" s="41">
        <v>352.5</v>
      </c>
      <c r="G30" s="42">
        <v>389.4</v>
      </c>
      <c r="H30" s="37" t="s">
        <v>50</v>
      </c>
    </row>
    <row r="31" spans="1:8" ht="18.95" customHeight="1" thickTop="1" thickBot="1" x14ac:dyDescent="0.25">
      <c r="A31" s="38" t="s">
        <v>786</v>
      </c>
      <c r="B31" s="39" t="s">
        <v>787</v>
      </c>
      <c r="C31" s="40" t="s">
        <v>129</v>
      </c>
      <c r="D31" s="40">
        <v>250</v>
      </c>
      <c r="E31" s="41">
        <v>412</v>
      </c>
      <c r="F31" s="41">
        <v>453.9</v>
      </c>
      <c r="G31" s="42">
        <v>501.4</v>
      </c>
      <c r="H31" s="37" t="s">
        <v>53</v>
      </c>
    </row>
    <row r="32" spans="1:8" ht="18.95" customHeight="1" thickTop="1" thickBot="1" x14ac:dyDescent="0.25">
      <c r="A32" s="38" t="s">
        <v>788</v>
      </c>
      <c r="B32" s="39" t="s">
        <v>752</v>
      </c>
      <c r="C32" s="40" t="s">
        <v>129</v>
      </c>
      <c r="D32" s="40">
        <v>120</v>
      </c>
      <c r="E32" s="41">
        <v>545.5</v>
      </c>
      <c r="F32" s="41">
        <v>600.29999999999995</v>
      </c>
      <c r="G32" s="42">
        <v>663.3</v>
      </c>
      <c r="H32" s="37" t="s">
        <v>53</v>
      </c>
    </row>
    <row r="33" spans="1:8" ht="18.95" customHeight="1" thickTop="1" thickBot="1" x14ac:dyDescent="0.25">
      <c r="A33" s="38" t="s">
        <v>789</v>
      </c>
      <c r="B33" s="39" t="s">
        <v>790</v>
      </c>
      <c r="C33" s="40" t="s">
        <v>129</v>
      </c>
      <c r="D33" s="40">
        <v>120</v>
      </c>
      <c r="E33" s="41">
        <v>677.7</v>
      </c>
      <c r="F33" s="41">
        <v>745.6</v>
      </c>
      <c r="G33" s="42">
        <v>823</v>
      </c>
      <c r="H33" s="37" t="s">
        <v>53</v>
      </c>
    </row>
    <row r="34" spans="1:8" ht="18.95" customHeight="1" thickTop="1" thickBot="1" x14ac:dyDescent="0.25">
      <c r="A34" s="38" t="s">
        <v>791</v>
      </c>
      <c r="B34" s="39" t="s">
        <v>792</v>
      </c>
      <c r="C34" s="40" t="s">
        <v>129</v>
      </c>
      <c r="D34" s="40">
        <v>50</v>
      </c>
      <c r="E34" s="41">
        <v>949.2</v>
      </c>
      <c r="F34" s="41">
        <v>1044.4000000000001</v>
      </c>
      <c r="G34" s="42">
        <v>1154.0999999999999</v>
      </c>
      <c r="H34" s="37" t="s">
        <v>53</v>
      </c>
    </row>
    <row r="35" spans="1:8" ht="18.95" customHeight="1" thickTop="1" thickBot="1" x14ac:dyDescent="0.25">
      <c r="A35" s="38" t="s">
        <v>793</v>
      </c>
      <c r="B35" s="39" t="s">
        <v>794</v>
      </c>
      <c r="C35" s="40" t="s">
        <v>129</v>
      </c>
      <c r="D35" s="40">
        <v>200</v>
      </c>
      <c r="E35" s="41">
        <v>1357.6</v>
      </c>
      <c r="F35" s="41">
        <v>1494.7</v>
      </c>
      <c r="G35" s="42">
        <v>1650.6</v>
      </c>
      <c r="H35" s="37" t="s">
        <v>50</v>
      </c>
    </row>
    <row r="36" spans="1:8" ht="18.95" customHeight="1" thickTop="1" thickBot="1" x14ac:dyDescent="0.25">
      <c r="A36" s="38" t="s">
        <v>795</v>
      </c>
      <c r="B36" s="39" t="s">
        <v>796</v>
      </c>
      <c r="C36" s="40" t="s">
        <v>129</v>
      </c>
      <c r="D36" s="40">
        <v>500</v>
      </c>
      <c r="E36" s="41">
        <v>718.2</v>
      </c>
      <c r="F36" s="41">
        <v>790.8</v>
      </c>
      <c r="G36" s="42">
        <v>873.1</v>
      </c>
      <c r="H36" s="37" t="s">
        <v>53</v>
      </c>
    </row>
    <row r="37" spans="1:8" ht="18.95" customHeight="1" thickTop="1" thickBot="1" x14ac:dyDescent="0.25">
      <c r="A37" s="38" t="s">
        <v>797</v>
      </c>
      <c r="B37" s="39" t="s">
        <v>798</v>
      </c>
      <c r="C37" s="40" t="s">
        <v>129</v>
      </c>
      <c r="D37" s="40">
        <v>120</v>
      </c>
      <c r="E37" s="41">
        <v>887.3</v>
      </c>
      <c r="F37" s="41">
        <v>976.6</v>
      </c>
      <c r="G37" s="42">
        <v>1077.9000000000001</v>
      </c>
      <c r="H37" s="37" t="s">
        <v>53</v>
      </c>
    </row>
    <row r="38" spans="1:8" ht="18.95" customHeight="1" thickTop="1" thickBot="1" x14ac:dyDescent="0.25">
      <c r="A38" s="38" t="s">
        <v>799</v>
      </c>
      <c r="B38" s="39" t="s">
        <v>800</v>
      </c>
      <c r="C38" s="40" t="s">
        <v>129</v>
      </c>
      <c r="D38" s="40">
        <v>120</v>
      </c>
      <c r="E38" s="41">
        <v>1099.3</v>
      </c>
      <c r="F38" s="41">
        <v>1209.9000000000001</v>
      </c>
      <c r="G38" s="42">
        <v>1336.2</v>
      </c>
      <c r="H38" s="37" t="s">
        <v>53</v>
      </c>
    </row>
    <row r="39" spans="1:8" ht="18.95" customHeight="1" thickTop="1" thickBot="1" x14ac:dyDescent="0.25">
      <c r="A39" s="38" t="s">
        <v>801</v>
      </c>
      <c r="B39" s="39" t="s">
        <v>802</v>
      </c>
      <c r="C39" s="40" t="s">
        <v>129</v>
      </c>
      <c r="D39" s="40">
        <v>60</v>
      </c>
      <c r="E39" s="41">
        <v>1349.3</v>
      </c>
      <c r="F39" s="41">
        <v>1486.3</v>
      </c>
      <c r="G39" s="42">
        <v>1641</v>
      </c>
      <c r="H39" s="37" t="s">
        <v>53</v>
      </c>
    </row>
    <row r="40" spans="1:8" ht="18.95" customHeight="1" thickTop="1" thickBot="1" x14ac:dyDescent="0.25">
      <c r="A40" s="38" t="s">
        <v>803</v>
      </c>
      <c r="B40" s="39" t="s">
        <v>804</v>
      </c>
      <c r="C40" s="40" t="s">
        <v>129</v>
      </c>
      <c r="D40" s="40">
        <v>2</v>
      </c>
      <c r="E40" s="41">
        <v>1633.9</v>
      </c>
      <c r="F40" s="41">
        <v>1799.5</v>
      </c>
      <c r="G40" s="42">
        <v>1986.5</v>
      </c>
      <c r="H40" s="37" t="s">
        <v>53</v>
      </c>
    </row>
    <row r="41" spans="1:8" ht="18.95" customHeight="1" thickTop="1" thickBot="1" x14ac:dyDescent="0.25">
      <c r="A41" s="221" t="s">
        <v>805</v>
      </c>
      <c r="B41" s="222">
        <v>0</v>
      </c>
      <c r="C41" s="222">
        <v>0</v>
      </c>
      <c r="D41" s="222">
        <v>0</v>
      </c>
      <c r="E41" s="222">
        <v>0</v>
      </c>
      <c r="F41" s="222">
        <v>0</v>
      </c>
      <c r="G41" s="223">
        <v>0</v>
      </c>
      <c r="H41" s="37" t="s">
        <v>44</v>
      </c>
    </row>
    <row r="42" spans="1:8" ht="18.95" customHeight="1" thickTop="1" thickBot="1" x14ac:dyDescent="0.25">
      <c r="A42" s="38" t="s">
        <v>806</v>
      </c>
      <c r="B42" s="39" t="s">
        <v>807</v>
      </c>
      <c r="C42" s="40" t="s">
        <v>129</v>
      </c>
      <c r="D42" s="40">
        <v>1</v>
      </c>
      <c r="E42" s="41">
        <v>270.3</v>
      </c>
      <c r="F42" s="41">
        <v>297.8</v>
      </c>
      <c r="G42" s="42">
        <v>328.7</v>
      </c>
      <c r="H42" s="37" t="s">
        <v>50</v>
      </c>
    </row>
    <row r="43" spans="1:8" ht="18.95" customHeight="1" thickTop="1" thickBot="1" x14ac:dyDescent="0.25">
      <c r="A43" s="38" t="s">
        <v>808</v>
      </c>
      <c r="B43" s="39" t="s">
        <v>809</v>
      </c>
      <c r="C43" s="40" t="s">
        <v>129</v>
      </c>
      <c r="D43" s="40">
        <v>120</v>
      </c>
      <c r="E43" s="41">
        <v>304.8</v>
      </c>
      <c r="F43" s="41">
        <v>334.7</v>
      </c>
      <c r="G43" s="42">
        <v>370.4</v>
      </c>
      <c r="H43" s="37" t="s">
        <v>50</v>
      </c>
    </row>
    <row r="44" spans="1:8" ht="18.95" customHeight="1" thickTop="1" thickBot="1" x14ac:dyDescent="0.25">
      <c r="A44" s="38" t="s">
        <v>810</v>
      </c>
      <c r="B44" s="39" t="s">
        <v>811</v>
      </c>
      <c r="C44" s="40" t="s">
        <v>129</v>
      </c>
      <c r="D44" s="40">
        <v>120</v>
      </c>
      <c r="E44" s="41">
        <v>415.6</v>
      </c>
      <c r="F44" s="41">
        <v>457.3</v>
      </c>
      <c r="G44" s="42">
        <v>505</v>
      </c>
      <c r="H44" s="37" t="s">
        <v>50</v>
      </c>
    </row>
    <row r="45" spans="1:8" ht="14.25" thickTop="1" thickBot="1" x14ac:dyDescent="0.25">
      <c r="A45" s="49" t="s">
        <v>812</v>
      </c>
      <c r="B45" s="50" t="s">
        <v>813</v>
      </c>
      <c r="C45" s="51" t="s">
        <v>129</v>
      </c>
      <c r="D45" s="51">
        <v>120</v>
      </c>
      <c r="E45" s="52">
        <v>621.6</v>
      </c>
      <c r="F45" s="52">
        <v>683.6</v>
      </c>
      <c r="G45" s="53">
        <v>755</v>
      </c>
      <c r="H45" s="54" t="s">
        <v>50</v>
      </c>
    </row>
    <row r="46" spans="1:8" ht="13.5" thickTop="1" x14ac:dyDescent="0.2">
      <c r="A46" s="55"/>
      <c r="B46" s="56"/>
      <c r="C46" s="57"/>
      <c r="D46" s="57"/>
      <c r="E46" s="58"/>
      <c r="F46" s="58"/>
      <c r="G46" s="58"/>
      <c r="H46" s="59"/>
    </row>
    <row r="47" spans="1:8" x14ac:dyDescent="0.2">
      <c r="A47" s="55"/>
      <c r="B47" s="56"/>
      <c r="C47" s="57"/>
      <c r="D47" s="57"/>
      <c r="E47" s="58"/>
      <c r="F47" s="58"/>
      <c r="G47" s="58"/>
      <c r="H47" s="59"/>
    </row>
    <row r="48" spans="1:8" x14ac:dyDescent="0.2">
      <c r="A48" s="55"/>
      <c r="B48" s="56"/>
      <c r="C48" s="57"/>
      <c r="D48" s="57"/>
      <c r="E48" s="58"/>
      <c r="F48" s="58"/>
      <c r="G48" s="58"/>
      <c r="H48" s="59"/>
    </row>
    <row r="49" spans="1:8" x14ac:dyDescent="0.2">
      <c r="A49" s="55"/>
      <c r="B49" s="56"/>
      <c r="C49" s="57"/>
      <c r="D49" s="57"/>
      <c r="E49" s="58"/>
      <c r="F49" s="58"/>
      <c r="G49" s="58"/>
      <c r="H49" s="59"/>
    </row>
    <row r="50" spans="1:8" x14ac:dyDescent="0.2">
      <c r="A50" s="55"/>
      <c r="B50" s="56"/>
      <c r="C50" s="57"/>
      <c r="D50" s="57"/>
      <c r="E50" s="58"/>
      <c r="F50" s="58"/>
      <c r="G50" s="58"/>
      <c r="H50" s="59"/>
    </row>
    <row r="51" spans="1:8" x14ac:dyDescent="0.2">
      <c r="A51" s="55"/>
      <c r="B51" s="56"/>
      <c r="C51" s="57"/>
      <c r="D51" s="57"/>
      <c r="E51" s="58"/>
      <c r="F51" s="58"/>
      <c r="G51" s="58"/>
      <c r="H51" s="59"/>
    </row>
    <row r="52" spans="1:8" x14ac:dyDescent="0.2">
      <c r="A52" s="55"/>
      <c r="B52" s="56"/>
      <c r="C52" s="57"/>
      <c r="D52" s="57"/>
      <c r="E52" s="58"/>
      <c r="F52" s="58"/>
      <c r="G52" s="58"/>
      <c r="H52" s="59"/>
    </row>
    <row r="53" spans="1:8" x14ac:dyDescent="0.2">
      <c r="A53" s="55"/>
      <c r="B53" s="56"/>
      <c r="C53" s="57"/>
      <c r="D53" s="57"/>
      <c r="E53" s="58"/>
      <c r="F53" s="58"/>
      <c r="G53" s="58"/>
      <c r="H53" s="59"/>
    </row>
    <row r="54" spans="1:8" x14ac:dyDescent="0.2">
      <c r="A54" s="55"/>
      <c r="B54" s="56"/>
      <c r="C54" s="57"/>
      <c r="D54" s="57"/>
      <c r="E54" s="58"/>
      <c r="F54" s="58"/>
      <c r="G54" s="58"/>
      <c r="H54" s="59"/>
    </row>
    <row r="55" spans="1:8" x14ac:dyDescent="0.2">
      <c r="A55" s="55"/>
      <c r="B55" s="56"/>
      <c r="C55" s="57"/>
      <c r="D55" s="57"/>
      <c r="E55" s="58"/>
      <c r="F55" s="58"/>
      <c r="G55" s="58"/>
      <c r="H55" s="59"/>
    </row>
    <row r="56" spans="1:8" x14ac:dyDescent="0.2">
      <c r="A56" s="55"/>
      <c r="B56" s="56"/>
      <c r="C56" s="57"/>
      <c r="D56" s="57"/>
      <c r="E56" s="58"/>
      <c r="F56" s="58"/>
      <c r="G56" s="58"/>
      <c r="H56" s="59"/>
    </row>
    <row r="57" spans="1:8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  <row r="68" spans="1:8" x14ac:dyDescent="0.2">
      <c r="A68" s="55"/>
      <c r="B68" s="56"/>
      <c r="C68" s="57"/>
      <c r="D68" s="57"/>
      <c r="E68" s="58"/>
      <c r="F68" s="58"/>
      <c r="G68" s="58"/>
      <c r="H68" s="59"/>
    </row>
    <row r="69" spans="1:8" x14ac:dyDescent="0.2">
      <c r="A69" s="55"/>
      <c r="B69" s="56"/>
      <c r="C69" s="57"/>
      <c r="D69" s="57"/>
      <c r="E69" s="58"/>
      <c r="F69" s="58"/>
      <c r="G69" s="58"/>
      <c r="H69" s="59"/>
    </row>
    <row r="70" spans="1:8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  <row r="72" spans="1:8" x14ac:dyDescent="0.2">
      <c r="A72" s="55"/>
      <c r="B72" s="56"/>
      <c r="C72" s="57"/>
      <c r="D72" s="57"/>
      <c r="E72" s="58"/>
      <c r="F72" s="58"/>
      <c r="G72" s="58"/>
      <c r="H72" s="59"/>
    </row>
    <row r="73" spans="1:8" x14ac:dyDescent="0.2">
      <c r="A73" s="55"/>
      <c r="B73" s="56"/>
      <c r="C73" s="57"/>
      <c r="D73" s="57"/>
      <c r="E73" s="58"/>
      <c r="F73" s="58"/>
      <c r="G73" s="58"/>
      <c r="H73" s="59"/>
    </row>
    <row r="74" spans="1:8" x14ac:dyDescent="0.2">
      <c r="A74" s="55"/>
      <c r="B74" s="56"/>
      <c r="C74" s="57"/>
      <c r="D74" s="57"/>
      <c r="E74" s="58"/>
      <c r="F74" s="58"/>
      <c r="G74" s="58"/>
      <c r="H74" s="59"/>
    </row>
    <row r="75" spans="1:8" x14ac:dyDescent="0.2">
      <c r="A75" s="55"/>
      <c r="B75" s="56"/>
      <c r="C75" s="57"/>
      <c r="D75" s="57"/>
      <c r="E75" s="58"/>
      <c r="F75" s="58"/>
      <c r="G75" s="58"/>
      <c r="H75" s="59"/>
    </row>
    <row r="76" spans="1:8" x14ac:dyDescent="0.2">
      <c r="A76" s="55"/>
      <c r="B76" s="56"/>
      <c r="C76" s="57"/>
      <c r="D76" s="57"/>
      <c r="E76" s="58"/>
      <c r="F76" s="58"/>
      <c r="G76" s="58"/>
      <c r="H76" s="59"/>
    </row>
    <row r="77" spans="1:8" x14ac:dyDescent="0.2">
      <c r="A77" s="55"/>
      <c r="B77" s="56"/>
      <c r="C77" s="57"/>
      <c r="D77" s="57"/>
      <c r="E77" s="58"/>
      <c r="F77" s="58"/>
      <c r="G77" s="58"/>
      <c r="H77" s="59"/>
    </row>
    <row r="78" spans="1:8" x14ac:dyDescent="0.2">
      <c r="A78" s="55"/>
      <c r="B78" s="56"/>
      <c r="C78" s="57"/>
      <c r="D78" s="57"/>
      <c r="E78" s="58"/>
      <c r="F78" s="58"/>
      <c r="G78" s="58"/>
      <c r="H78" s="59"/>
    </row>
    <row r="79" spans="1:8" x14ac:dyDescent="0.2">
      <c r="A79" s="55"/>
      <c r="B79" s="56"/>
      <c r="C79" s="57"/>
      <c r="D79" s="57"/>
      <c r="E79" s="58"/>
      <c r="F79" s="58"/>
      <c r="G79" s="58"/>
      <c r="H79" s="59"/>
    </row>
    <row r="80" spans="1:8" x14ac:dyDescent="0.2">
      <c r="A80" s="55"/>
      <c r="B80" s="56"/>
      <c r="C80" s="57"/>
      <c r="D80" s="57"/>
      <c r="E80" s="58"/>
      <c r="F80" s="58"/>
      <c r="G80" s="58"/>
      <c r="H80" s="59"/>
    </row>
    <row r="81" spans="1:8" x14ac:dyDescent="0.2">
      <c r="A81" s="55"/>
      <c r="B81" s="56"/>
      <c r="C81" s="57"/>
      <c r="D81" s="57"/>
      <c r="E81" s="58"/>
      <c r="F81" s="58"/>
      <c r="G81" s="58"/>
      <c r="H81" s="59"/>
    </row>
    <row r="82" spans="1:8" x14ac:dyDescent="0.2">
      <c r="A82" s="55"/>
      <c r="B82" s="56"/>
      <c r="C82" s="57"/>
      <c r="D82" s="57"/>
      <c r="E82" s="58"/>
      <c r="F82" s="58"/>
      <c r="G82" s="58"/>
      <c r="H82" s="59"/>
    </row>
    <row r="83" spans="1:8" x14ac:dyDescent="0.2">
      <c r="A83" s="55"/>
      <c r="B83" s="56"/>
      <c r="C83" s="57"/>
      <c r="D83" s="57"/>
      <c r="E83" s="58"/>
      <c r="F83" s="58"/>
      <c r="G83" s="58"/>
      <c r="H83" s="59"/>
    </row>
    <row r="84" spans="1:8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  <row r="87" spans="1:8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</sheetData>
  <mergeCells count="15">
    <mergeCell ref="A1:B1"/>
    <mergeCell ref="A2:A3"/>
    <mergeCell ref="B2:B3"/>
    <mergeCell ref="C2:C3"/>
    <mergeCell ref="D2:D3"/>
    <mergeCell ref="A14:G14"/>
    <mergeCell ref="A22:G22"/>
    <mergeCell ref="A41:G41"/>
    <mergeCell ref="G2:G3"/>
    <mergeCell ref="H2:H3"/>
    <mergeCell ref="A4:G5"/>
    <mergeCell ref="A6:G6"/>
    <mergeCell ref="A7:G7"/>
    <mergeCell ref="A8:G8"/>
    <mergeCell ref="E2:F2"/>
  </mergeCells>
  <phoneticPr fontId="0" type="noConversion"/>
  <conditionalFormatting sqref="C10:D13 C43:D45 C15:D21 C23:D40 C1:C2 D1:D3">
    <cfRule type="cellIs" dxfId="154" priority="9" stopIfTrue="1" operator="equal">
      <formula>0</formula>
    </cfRule>
  </conditionalFormatting>
  <conditionalFormatting sqref="C9:D9">
    <cfRule type="cellIs" dxfId="153" priority="8" stopIfTrue="1" operator="equal">
      <formula>0</formula>
    </cfRule>
  </conditionalFormatting>
  <conditionalFormatting sqref="C42:D42">
    <cfRule type="cellIs" dxfId="152" priority="7" stopIfTrue="1" operator="equal">
      <formula>0</formula>
    </cfRule>
  </conditionalFormatting>
  <conditionalFormatting sqref="C8:D8">
    <cfRule type="cellIs" dxfId="151" priority="6" stopIfTrue="1" operator="equal">
      <formula>0</formula>
    </cfRule>
  </conditionalFormatting>
  <conditionalFormatting sqref="C14:D14">
    <cfRule type="cellIs" dxfId="150" priority="5" stopIfTrue="1" operator="equal">
      <formula>0</formula>
    </cfRule>
  </conditionalFormatting>
  <conditionalFormatting sqref="C22:D22">
    <cfRule type="cellIs" dxfId="149" priority="4" stopIfTrue="1" operator="equal">
      <formula>0</formula>
    </cfRule>
  </conditionalFormatting>
  <conditionalFormatting sqref="C41:D41">
    <cfRule type="cellIs" dxfId="148" priority="3" stopIfTrue="1" operator="equal">
      <formula>0</formula>
    </cfRule>
  </conditionalFormatting>
  <conditionalFormatting sqref="C7:D7">
    <cfRule type="cellIs" dxfId="147" priority="2" stopIfTrue="1" operator="equal">
      <formula>0</formula>
    </cfRule>
  </conditionalFormatting>
  <conditionalFormatting sqref="C46:D90">
    <cfRule type="cellIs" dxfId="146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3" fitToHeight="4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H179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3.42578125" customWidth="1"/>
    <col min="2" max="2" width="86.5703125" customWidth="1"/>
    <col min="3" max="3" width="10.85546875" customWidth="1"/>
    <col min="4" max="4" width="9.85546875" customWidth="1"/>
    <col min="5" max="6" width="10.5703125" customWidth="1"/>
    <col min="7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8.95" customHeight="1" thickTop="1" thickBot="1" x14ac:dyDescent="0.25">
      <c r="A4" s="266" t="s">
        <v>741</v>
      </c>
      <c r="B4" s="267">
        <v>0</v>
      </c>
      <c r="C4" s="267">
        <v>0</v>
      </c>
      <c r="D4" s="267">
        <v>0</v>
      </c>
      <c r="E4" s="267">
        <v>0</v>
      </c>
      <c r="F4" s="267">
        <v>0</v>
      </c>
      <c r="G4" s="267">
        <v>0</v>
      </c>
      <c r="H4" s="102" t="s">
        <v>44</v>
      </c>
    </row>
    <row r="5" spans="1:8" ht="18.95" customHeight="1" thickTop="1" thickBot="1" x14ac:dyDescent="0.25">
      <c r="A5" s="266">
        <v>0</v>
      </c>
      <c r="B5" s="267">
        <v>0</v>
      </c>
      <c r="C5" s="267">
        <v>0</v>
      </c>
      <c r="D5" s="267">
        <v>0</v>
      </c>
      <c r="E5" s="267">
        <v>0</v>
      </c>
      <c r="F5" s="267">
        <v>0</v>
      </c>
      <c r="G5" s="267">
        <v>0</v>
      </c>
      <c r="H5" s="102" t="s">
        <v>44</v>
      </c>
    </row>
    <row r="6" spans="1:8" ht="40.5" customHeight="1" thickTop="1" thickBot="1" x14ac:dyDescent="0.25">
      <c r="A6" s="266" t="s">
        <v>742</v>
      </c>
      <c r="B6" s="267">
        <v>0</v>
      </c>
      <c r="C6" s="267">
        <v>0</v>
      </c>
      <c r="D6" s="267">
        <v>0</v>
      </c>
      <c r="E6" s="267">
        <v>0</v>
      </c>
      <c r="F6" s="267">
        <v>0</v>
      </c>
      <c r="G6" s="267">
        <v>0</v>
      </c>
      <c r="H6" s="102" t="s">
        <v>44</v>
      </c>
    </row>
    <row r="7" spans="1:8" ht="18.95" customHeight="1" thickTop="1" thickBot="1" x14ac:dyDescent="0.25">
      <c r="A7" s="232" t="s">
        <v>814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37" t="s">
        <v>44</v>
      </c>
    </row>
    <row r="8" spans="1:8" ht="18.95" customHeight="1" thickTop="1" thickBot="1" x14ac:dyDescent="0.25">
      <c r="A8" s="221" t="s">
        <v>815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816</v>
      </c>
      <c r="B9" s="39" t="s">
        <v>817</v>
      </c>
      <c r="C9" s="40" t="s">
        <v>129</v>
      </c>
      <c r="D9" s="40">
        <v>240</v>
      </c>
      <c r="E9" s="41">
        <v>254.9</v>
      </c>
      <c r="F9" s="41">
        <v>300.2</v>
      </c>
      <c r="G9" s="42">
        <v>331</v>
      </c>
      <c r="H9" s="37" t="s">
        <v>53</v>
      </c>
    </row>
    <row r="10" spans="1:8" ht="18.95" customHeight="1" thickTop="1" thickBot="1" x14ac:dyDescent="0.25">
      <c r="A10" s="38" t="s">
        <v>818</v>
      </c>
      <c r="B10" s="39" t="s">
        <v>819</v>
      </c>
      <c r="C10" s="40" t="s">
        <v>129</v>
      </c>
      <c r="D10" s="40">
        <v>240</v>
      </c>
      <c r="E10" s="41">
        <v>315.60000000000002</v>
      </c>
      <c r="F10" s="41">
        <v>372.7</v>
      </c>
      <c r="G10" s="42">
        <v>409.7</v>
      </c>
      <c r="H10" s="37" t="s">
        <v>53</v>
      </c>
    </row>
    <row r="11" spans="1:8" ht="18.95" customHeight="1" thickTop="1" thickBot="1" x14ac:dyDescent="0.25">
      <c r="A11" s="38" t="s">
        <v>820</v>
      </c>
      <c r="B11" s="39" t="s">
        <v>821</v>
      </c>
      <c r="C11" s="40" t="s">
        <v>129</v>
      </c>
      <c r="D11" s="40">
        <v>180</v>
      </c>
      <c r="E11" s="41">
        <v>378.6</v>
      </c>
      <c r="F11" s="41">
        <v>446.7</v>
      </c>
      <c r="G11" s="42">
        <v>491.8</v>
      </c>
      <c r="H11" s="37" t="s">
        <v>53</v>
      </c>
    </row>
    <row r="12" spans="1:8" ht="18.95" customHeight="1" thickTop="1" thickBot="1" x14ac:dyDescent="0.25">
      <c r="A12" s="38" t="s">
        <v>822</v>
      </c>
      <c r="B12" s="39" t="s">
        <v>823</v>
      </c>
      <c r="C12" s="40" t="s">
        <v>129</v>
      </c>
      <c r="D12" s="40">
        <v>240</v>
      </c>
      <c r="E12" s="41">
        <v>304.8</v>
      </c>
      <c r="F12" s="41">
        <v>359.7</v>
      </c>
      <c r="G12" s="42">
        <v>396.7</v>
      </c>
      <c r="H12" s="37" t="s">
        <v>50</v>
      </c>
    </row>
    <row r="13" spans="1:8" ht="18.95" customHeight="1" thickTop="1" thickBot="1" x14ac:dyDescent="0.25">
      <c r="A13" s="38" t="s">
        <v>824</v>
      </c>
      <c r="B13" s="39" t="s">
        <v>825</v>
      </c>
      <c r="C13" s="40" t="s">
        <v>129</v>
      </c>
      <c r="D13" s="40">
        <v>240</v>
      </c>
      <c r="E13" s="41">
        <v>365.6</v>
      </c>
      <c r="F13" s="41">
        <v>432.4</v>
      </c>
      <c r="G13" s="42">
        <v>475.3</v>
      </c>
      <c r="H13" s="37" t="s">
        <v>53</v>
      </c>
    </row>
    <row r="14" spans="1:8" ht="18.95" customHeight="1" thickTop="1" thickBot="1" x14ac:dyDescent="0.25">
      <c r="A14" s="38" t="s">
        <v>826</v>
      </c>
      <c r="B14" s="39" t="s">
        <v>827</v>
      </c>
      <c r="C14" s="40" t="s">
        <v>129</v>
      </c>
      <c r="D14" s="40">
        <v>120</v>
      </c>
      <c r="E14" s="41">
        <v>408.5</v>
      </c>
      <c r="F14" s="41">
        <v>482.5</v>
      </c>
      <c r="G14" s="42">
        <v>531.1</v>
      </c>
      <c r="H14" s="37" t="s">
        <v>53</v>
      </c>
    </row>
    <row r="15" spans="1:8" ht="18.95" customHeight="1" thickTop="1" thickBot="1" x14ac:dyDescent="0.25">
      <c r="A15" s="38" t="s">
        <v>828</v>
      </c>
      <c r="B15" s="39" t="s">
        <v>829</v>
      </c>
      <c r="C15" s="40" t="s">
        <v>129</v>
      </c>
      <c r="D15" s="40">
        <v>120</v>
      </c>
      <c r="E15" s="41">
        <v>498.9</v>
      </c>
      <c r="F15" s="41">
        <v>589.6</v>
      </c>
      <c r="G15" s="42">
        <v>649.1</v>
      </c>
      <c r="H15" s="37" t="s">
        <v>53</v>
      </c>
    </row>
    <row r="16" spans="1:8" ht="18.95" customHeight="1" thickTop="1" thickBot="1" x14ac:dyDescent="0.25">
      <c r="A16" s="221" t="s">
        <v>830</v>
      </c>
      <c r="B16" s="222">
        <v>0</v>
      </c>
      <c r="C16" s="222">
        <v>0</v>
      </c>
      <c r="D16" s="222">
        <v>0</v>
      </c>
      <c r="E16" s="222">
        <v>0</v>
      </c>
      <c r="F16" s="222">
        <v>0</v>
      </c>
      <c r="G16" s="223">
        <v>0</v>
      </c>
      <c r="H16" s="37" t="s">
        <v>44</v>
      </c>
    </row>
    <row r="17" spans="1:8" ht="18.95" customHeight="1" thickTop="1" thickBot="1" x14ac:dyDescent="0.25">
      <c r="A17" s="38" t="s">
        <v>831</v>
      </c>
      <c r="B17" s="39" t="s">
        <v>832</v>
      </c>
      <c r="C17" s="40" t="s">
        <v>129</v>
      </c>
      <c r="D17" s="40">
        <v>240</v>
      </c>
      <c r="E17" s="41">
        <v>333.5</v>
      </c>
      <c r="F17" s="41">
        <v>365.6</v>
      </c>
      <c r="G17" s="42">
        <v>404.9</v>
      </c>
      <c r="H17" s="37" t="s">
        <v>53</v>
      </c>
    </row>
    <row r="18" spans="1:8" ht="18.95" customHeight="1" thickTop="1" thickBot="1" x14ac:dyDescent="0.25">
      <c r="A18" s="38" t="s">
        <v>833</v>
      </c>
      <c r="B18" s="39" t="s">
        <v>834</v>
      </c>
      <c r="C18" s="40" t="s">
        <v>129</v>
      </c>
      <c r="D18" s="40">
        <v>20</v>
      </c>
      <c r="E18" s="41">
        <v>337.1</v>
      </c>
      <c r="F18" s="41">
        <v>370.4</v>
      </c>
      <c r="G18" s="42">
        <v>409.7</v>
      </c>
      <c r="H18" s="37" t="s">
        <v>53</v>
      </c>
    </row>
    <row r="19" spans="1:8" ht="18.95" customHeight="1" thickTop="1" thickBot="1" x14ac:dyDescent="0.25">
      <c r="A19" s="38" t="s">
        <v>835</v>
      </c>
      <c r="B19" s="39" t="s">
        <v>836</v>
      </c>
      <c r="C19" s="40" t="s">
        <v>129</v>
      </c>
      <c r="D19" s="40">
        <v>180</v>
      </c>
      <c r="E19" s="41">
        <v>344.1</v>
      </c>
      <c r="F19" s="41">
        <v>377.5</v>
      </c>
      <c r="G19" s="42">
        <v>418.1</v>
      </c>
      <c r="H19" s="37" t="s">
        <v>53</v>
      </c>
    </row>
    <row r="20" spans="1:8" ht="18.95" customHeight="1" thickTop="1" thickBot="1" x14ac:dyDescent="0.25">
      <c r="A20" s="38" t="s">
        <v>837</v>
      </c>
      <c r="B20" s="39" t="s">
        <v>838</v>
      </c>
      <c r="C20" s="40" t="s">
        <v>129</v>
      </c>
      <c r="D20" s="40">
        <v>240</v>
      </c>
      <c r="E20" s="41">
        <v>333.5</v>
      </c>
      <c r="F20" s="41">
        <v>365.6</v>
      </c>
      <c r="G20" s="42">
        <v>404.9</v>
      </c>
      <c r="H20" s="37" t="s">
        <v>53</v>
      </c>
    </row>
    <row r="21" spans="1:8" ht="18.95" customHeight="1" thickTop="1" thickBot="1" x14ac:dyDescent="0.25">
      <c r="A21" s="38" t="s">
        <v>839</v>
      </c>
      <c r="B21" s="39" t="s">
        <v>840</v>
      </c>
      <c r="C21" s="40" t="s">
        <v>129</v>
      </c>
      <c r="D21" s="40">
        <v>100</v>
      </c>
      <c r="E21" s="41">
        <v>337.1</v>
      </c>
      <c r="F21" s="41">
        <v>370.4</v>
      </c>
      <c r="G21" s="42">
        <v>409.7</v>
      </c>
      <c r="H21" s="37" t="s">
        <v>53</v>
      </c>
    </row>
    <row r="22" spans="1:8" ht="18.95" customHeight="1" thickTop="1" thickBot="1" x14ac:dyDescent="0.25">
      <c r="A22" s="38" t="s">
        <v>841</v>
      </c>
      <c r="B22" s="39" t="s">
        <v>842</v>
      </c>
      <c r="C22" s="40" t="s">
        <v>129</v>
      </c>
      <c r="D22" s="40">
        <v>240</v>
      </c>
      <c r="E22" s="41">
        <v>355</v>
      </c>
      <c r="F22" s="41">
        <v>389.4</v>
      </c>
      <c r="G22" s="42">
        <v>431.1</v>
      </c>
      <c r="H22" s="37" t="s">
        <v>53</v>
      </c>
    </row>
    <row r="23" spans="1:8" ht="18.95" customHeight="1" thickTop="1" thickBot="1" x14ac:dyDescent="0.25">
      <c r="A23" s="38" t="s">
        <v>843</v>
      </c>
      <c r="B23" s="39" t="s">
        <v>844</v>
      </c>
      <c r="C23" s="40" t="s">
        <v>129</v>
      </c>
      <c r="D23" s="40">
        <v>120</v>
      </c>
      <c r="E23" s="41">
        <v>429.9</v>
      </c>
      <c r="F23" s="41">
        <v>472.8</v>
      </c>
      <c r="G23" s="42">
        <v>522.79999999999995</v>
      </c>
      <c r="H23" s="37" t="s">
        <v>53</v>
      </c>
    </row>
    <row r="24" spans="1:8" ht="18.95" customHeight="1" thickTop="1" thickBot="1" x14ac:dyDescent="0.25">
      <c r="A24" s="221" t="s">
        <v>845</v>
      </c>
      <c r="B24" s="222">
        <v>0</v>
      </c>
      <c r="C24" s="222">
        <v>0</v>
      </c>
      <c r="D24" s="222">
        <v>0</v>
      </c>
      <c r="E24" s="222">
        <v>0</v>
      </c>
      <c r="F24" s="222">
        <v>0</v>
      </c>
      <c r="G24" s="223">
        <v>0</v>
      </c>
      <c r="H24" s="37" t="s">
        <v>44</v>
      </c>
    </row>
    <row r="25" spans="1:8" ht="18.95" customHeight="1" thickTop="1" thickBot="1" x14ac:dyDescent="0.25">
      <c r="A25" s="43" t="s">
        <v>846</v>
      </c>
      <c r="B25" s="44" t="s">
        <v>847</v>
      </c>
      <c r="C25" s="40" t="s">
        <v>129</v>
      </c>
      <c r="D25" s="40">
        <v>120</v>
      </c>
      <c r="E25" s="41">
        <v>426.3</v>
      </c>
      <c r="F25" s="41">
        <v>469.2</v>
      </c>
      <c r="G25" s="42">
        <v>518.1</v>
      </c>
      <c r="H25" s="37" t="s">
        <v>50</v>
      </c>
    </row>
    <row r="26" spans="1:8" ht="18.95" customHeight="1" thickTop="1" thickBot="1" x14ac:dyDescent="0.25">
      <c r="A26" s="43" t="s">
        <v>848</v>
      </c>
      <c r="B26" s="44" t="s">
        <v>849</v>
      </c>
      <c r="C26" s="40" t="s">
        <v>129</v>
      </c>
      <c r="D26" s="40">
        <v>120</v>
      </c>
      <c r="E26" s="41">
        <v>483.5</v>
      </c>
      <c r="F26" s="41">
        <v>532.29999999999995</v>
      </c>
      <c r="G26" s="42">
        <v>588.4</v>
      </c>
      <c r="H26" s="37" t="s">
        <v>50</v>
      </c>
    </row>
    <row r="27" spans="1:8" ht="18.95" customHeight="1" thickTop="1" thickBot="1" x14ac:dyDescent="0.25">
      <c r="A27" s="43" t="s">
        <v>850</v>
      </c>
      <c r="B27" s="44" t="s">
        <v>851</v>
      </c>
      <c r="C27" s="40" t="s">
        <v>129</v>
      </c>
      <c r="D27" s="40">
        <v>120</v>
      </c>
      <c r="E27" s="41">
        <v>634.79999999999995</v>
      </c>
      <c r="F27" s="41">
        <v>697.8</v>
      </c>
      <c r="G27" s="42">
        <v>771.8</v>
      </c>
      <c r="H27" s="37" t="s">
        <v>50</v>
      </c>
    </row>
    <row r="28" spans="1:8" ht="18.95" customHeight="1" thickTop="1" thickBot="1" x14ac:dyDescent="0.25">
      <c r="A28" s="221" t="s">
        <v>852</v>
      </c>
      <c r="B28" s="222">
        <v>0</v>
      </c>
      <c r="C28" s="222">
        <v>0</v>
      </c>
      <c r="D28" s="222">
        <v>0</v>
      </c>
      <c r="E28" s="222">
        <v>0</v>
      </c>
      <c r="F28" s="222">
        <v>0</v>
      </c>
      <c r="G28" s="223">
        <v>0</v>
      </c>
      <c r="H28" s="37" t="s">
        <v>44</v>
      </c>
    </row>
    <row r="29" spans="1:8" ht="18.95" customHeight="1" thickTop="1" thickBot="1" x14ac:dyDescent="0.25">
      <c r="A29" s="38" t="s">
        <v>853</v>
      </c>
      <c r="B29" s="39" t="s">
        <v>854</v>
      </c>
      <c r="C29" s="40" t="s">
        <v>129</v>
      </c>
      <c r="D29" s="40">
        <v>60</v>
      </c>
      <c r="E29" s="41">
        <v>977.7</v>
      </c>
      <c r="F29" s="41">
        <v>1075.5</v>
      </c>
      <c r="G29" s="42">
        <v>1188.5</v>
      </c>
      <c r="H29" s="37" t="s">
        <v>50</v>
      </c>
    </row>
    <row r="30" spans="1:8" ht="18.95" customHeight="1" thickTop="1" thickBot="1" x14ac:dyDescent="0.25">
      <c r="A30" s="38" t="s">
        <v>855</v>
      </c>
      <c r="B30" s="39" t="s">
        <v>856</v>
      </c>
      <c r="C30" s="40" t="s">
        <v>129</v>
      </c>
      <c r="D30" s="40">
        <v>96</v>
      </c>
      <c r="E30" s="41">
        <v>1069.5</v>
      </c>
      <c r="F30" s="41">
        <v>1176.7</v>
      </c>
      <c r="G30" s="42">
        <v>1300.5</v>
      </c>
      <c r="H30" s="37" t="s">
        <v>50</v>
      </c>
    </row>
    <row r="31" spans="1:8" ht="18.95" customHeight="1" thickTop="1" thickBot="1" x14ac:dyDescent="0.25">
      <c r="A31" s="38" t="s">
        <v>857</v>
      </c>
      <c r="B31" s="39" t="s">
        <v>858</v>
      </c>
      <c r="C31" s="40" t="s">
        <v>129</v>
      </c>
      <c r="D31" s="40">
        <v>60</v>
      </c>
      <c r="E31" s="41">
        <v>1069.5</v>
      </c>
      <c r="F31" s="41">
        <v>1176.7</v>
      </c>
      <c r="G31" s="42">
        <v>1300.5</v>
      </c>
      <c r="H31" s="37" t="s">
        <v>50</v>
      </c>
    </row>
    <row r="32" spans="1:8" ht="18.95" customHeight="1" thickTop="1" thickBot="1" x14ac:dyDescent="0.25">
      <c r="A32" s="221" t="s">
        <v>859</v>
      </c>
      <c r="B32" s="222">
        <v>0</v>
      </c>
      <c r="C32" s="222">
        <v>0</v>
      </c>
      <c r="D32" s="222">
        <v>0</v>
      </c>
      <c r="E32" s="222">
        <v>0</v>
      </c>
      <c r="F32" s="222">
        <v>0</v>
      </c>
      <c r="G32" s="223">
        <v>0</v>
      </c>
      <c r="H32" s="37" t="s">
        <v>44</v>
      </c>
    </row>
    <row r="33" spans="1:8" ht="18.95" customHeight="1" thickTop="1" thickBot="1" x14ac:dyDescent="0.25">
      <c r="A33" s="103" t="s">
        <v>860</v>
      </c>
      <c r="B33" s="39" t="s">
        <v>861</v>
      </c>
      <c r="C33" s="40" t="s">
        <v>129</v>
      </c>
      <c r="D33" s="40">
        <v>100</v>
      </c>
      <c r="E33" s="41">
        <v>329.4</v>
      </c>
      <c r="F33" s="41">
        <v>396</v>
      </c>
      <c r="G33" s="42">
        <v>435.6</v>
      </c>
      <c r="H33" s="37" t="s">
        <v>53</v>
      </c>
    </row>
    <row r="34" spans="1:8" ht="18.95" customHeight="1" thickTop="1" thickBot="1" x14ac:dyDescent="0.25">
      <c r="A34" s="221" t="s">
        <v>862</v>
      </c>
      <c r="B34" s="222">
        <v>0</v>
      </c>
      <c r="C34" s="222">
        <v>0</v>
      </c>
      <c r="D34" s="222">
        <v>0</v>
      </c>
      <c r="E34" s="222">
        <v>0</v>
      </c>
      <c r="F34" s="222">
        <v>0</v>
      </c>
      <c r="G34" s="223">
        <v>0</v>
      </c>
      <c r="H34" s="37" t="s">
        <v>44</v>
      </c>
    </row>
    <row r="35" spans="1:8" ht="18.95" customHeight="1" thickTop="1" thickBot="1" x14ac:dyDescent="0.25">
      <c r="A35" s="38" t="s">
        <v>863</v>
      </c>
      <c r="B35" s="39" t="s">
        <v>864</v>
      </c>
      <c r="C35" s="40" t="s">
        <v>129</v>
      </c>
      <c r="D35" s="40">
        <v>150</v>
      </c>
      <c r="E35" s="41">
        <v>488.3</v>
      </c>
      <c r="F35" s="41">
        <v>537.1</v>
      </c>
      <c r="G35" s="42">
        <v>594.29999999999995</v>
      </c>
      <c r="H35" s="37" t="s">
        <v>53</v>
      </c>
    </row>
    <row r="36" spans="1:8" ht="18.95" customHeight="1" thickTop="1" thickBot="1" x14ac:dyDescent="0.25">
      <c r="A36" s="38" t="s">
        <v>865</v>
      </c>
      <c r="B36" s="39" t="s">
        <v>866</v>
      </c>
      <c r="C36" s="40" t="s">
        <v>129</v>
      </c>
      <c r="D36" s="40">
        <v>150</v>
      </c>
      <c r="E36" s="41">
        <v>579.9</v>
      </c>
      <c r="F36" s="41">
        <v>638.20000000000005</v>
      </c>
      <c r="G36" s="42">
        <v>705</v>
      </c>
      <c r="H36" s="37" t="s">
        <v>53</v>
      </c>
    </row>
    <row r="37" spans="1:8" ht="18.95" customHeight="1" thickTop="1" thickBot="1" x14ac:dyDescent="0.25">
      <c r="A37" s="38" t="s">
        <v>867</v>
      </c>
      <c r="B37" s="39" t="s">
        <v>868</v>
      </c>
      <c r="C37" s="40" t="s">
        <v>129</v>
      </c>
      <c r="D37" s="40">
        <v>60</v>
      </c>
      <c r="E37" s="41">
        <v>721.7</v>
      </c>
      <c r="F37" s="41">
        <v>794.4</v>
      </c>
      <c r="G37" s="42">
        <v>877.7</v>
      </c>
      <c r="H37" s="37" t="s">
        <v>53</v>
      </c>
    </row>
    <row r="38" spans="1:8" ht="18.95" customHeight="1" thickTop="1" thickBot="1" x14ac:dyDescent="0.25">
      <c r="A38" s="221" t="s">
        <v>869</v>
      </c>
      <c r="B38" s="222">
        <v>0</v>
      </c>
      <c r="C38" s="222">
        <v>0</v>
      </c>
      <c r="D38" s="222">
        <v>0</v>
      </c>
      <c r="E38" s="222">
        <v>0</v>
      </c>
      <c r="F38" s="222">
        <v>0</v>
      </c>
      <c r="G38" s="223">
        <v>0</v>
      </c>
      <c r="H38" s="37" t="s">
        <v>44</v>
      </c>
    </row>
    <row r="39" spans="1:8" ht="18.95" customHeight="1" thickTop="1" thickBot="1" x14ac:dyDescent="0.25">
      <c r="A39" s="38" t="s">
        <v>870</v>
      </c>
      <c r="B39" s="39" t="s">
        <v>871</v>
      </c>
      <c r="C39" s="40" t="s">
        <v>129</v>
      </c>
      <c r="D39" s="40">
        <v>160</v>
      </c>
      <c r="E39" s="41">
        <v>458.5</v>
      </c>
      <c r="F39" s="41">
        <v>503.8</v>
      </c>
      <c r="G39" s="42">
        <v>557.29999999999995</v>
      </c>
      <c r="H39" s="37" t="s">
        <v>50</v>
      </c>
    </row>
    <row r="40" spans="1:8" ht="18.95" customHeight="1" thickTop="1" thickBot="1" x14ac:dyDescent="0.25">
      <c r="A40" s="38" t="s">
        <v>872</v>
      </c>
      <c r="B40" s="39" t="s">
        <v>873</v>
      </c>
      <c r="C40" s="40" t="s">
        <v>129</v>
      </c>
      <c r="D40" s="40">
        <v>160</v>
      </c>
      <c r="E40" s="41">
        <v>487</v>
      </c>
      <c r="F40" s="41">
        <v>535.9</v>
      </c>
      <c r="G40" s="42">
        <v>591.9</v>
      </c>
      <c r="H40" s="37" t="s">
        <v>50</v>
      </c>
    </row>
    <row r="41" spans="1:8" ht="18.95" customHeight="1" thickTop="1" thickBot="1" x14ac:dyDescent="0.25">
      <c r="A41" s="38" t="s">
        <v>874</v>
      </c>
      <c r="B41" s="39" t="s">
        <v>875</v>
      </c>
      <c r="C41" s="40" t="s">
        <v>129</v>
      </c>
      <c r="D41" s="40">
        <v>240</v>
      </c>
      <c r="E41" s="41">
        <v>625.4</v>
      </c>
      <c r="F41" s="41">
        <v>688.4</v>
      </c>
      <c r="G41" s="42">
        <v>760.9</v>
      </c>
      <c r="H41" s="37" t="s">
        <v>50</v>
      </c>
    </row>
    <row r="42" spans="1:8" ht="18.95" customHeight="1" thickTop="1" thickBot="1" x14ac:dyDescent="0.25">
      <c r="A42" s="221" t="s">
        <v>876</v>
      </c>
      <c r="B42" s="222">
        <v>0</v>
      </c>
      <c r="C42" s="222">
        <v>0</v>
      </c>
      <c r="D42" s="222">
        <v>0</v>
      </c>
      <c r="E42" s="222">
        <v>0</v>
      </c>
      <c r="F42" s="222">
        <v>0</v>
      </c>
      <c r="G42" s="223">
        <v>0</v>
      </c>
      <c r="H42" s="37" t="s">
        <v>44</v>
      </c>
    </row>
    <row r="43" spans="1:8" ht="18.95" customHeight="1" thickTop="1" thickBot="1" x14ac:dyDescent="0.25">
      <c r="A43" s="38" t="s">
        <v>877</v>
      </c>
      <c r="B43" s="39" t="s">
        <v>871</v>
      </c>
      <c r="C43" s="40" t="s">
        <v>129</v>
      </c>
      <c r="D43" s="40">
        <v>250</v>
      </c>
      <c r="E43" s="41">
        <v>402.5</v>
      </c>
      <c r="F43" s="41">
        <v>443</v>
      </c>
      <c r="G43" s="42">
        <v>489.4</v>
      </c>
      <c r="H43" s="37" t="s">
        <v>50</v>
      </c>
    </row>
    <row r="44" spans="1:8" ht="18.95" customHeight="1" thickTop="1" thickBot="1" x14ac:dyDescent="0.25">
      <c r="A44" s="38" t="s">
        <v>878</v>
      </c>
      <c r="B44" s="39" t="s">
        <v>873</v>
      </c>
      <c r="C44" s="40" t="s">
        <v>129</v>
      </c>
      <c r="D44" s="40">
        <v>250</v>
      </c>
      <c r="E44" s="41">
        <v>438.3</v>
      </c>
      <c r="F44" s="41">
        <v>482.5</v>
      </c>
      <c r="G44" s="42">
        <v>533.6</v>
      </c>
      <c r="H44" s="37" t="s">
        <v>50</v>
      </c>
    </row>
    <row r="45" spans="1:8" ht="18.95" customHeight="1" thickTop="1" thickBot="1" x14ac:dyDescent="0.25">
      <c r="A45" s="38" t="s">
        <v>879</v>
      </c>
      <c r="B45" s="39" t="s">
        <v>875</v>
      </c>
      <c r="C45" s="40" t="s">
        <v>129</v>
      </c>
      <c r="D45" s="40">
        <v>240</v>
      </c>
      <c r="E45" s="41">
        <v>502.6</v>
      </c>
      <c r="F45" s="41">
        <v>553.79999999999995</v>
      </c>
      <c r="G45" s="42">
        <v>611</v>
      </c>
      <c r="H45" s="37" t="s">
        <v>50</v>
      </c>
    </row>
    <row r="46" spans="1:8" ht="18.95" customHeight="1" thickTop="1" thickBot="1" x14ac:dyDescent="0.25">
      <c r="A46" s="221" t="s">
        <v>880</v>
      </c>
      <c r="B46" s="222">
        <v>0</v>
      </c>
      <c r="C46" s="222">
        <v>0</v>
      </c>
      <c r="D46" s="222">
        <v>0</v>
      </c>
      <c r="E46" s="222">
        <v>0</v>
      </c>
      <c r="F46" s="222">
        <v>0</v>
      </c>
      <c r="G46" s="223">
        <v>0</v>
      </c>
      <c r="H46" s="37" t="s">
        <v>44</v>
      </c>
    </row>
    <row r="47" spans="1:8" ht="18.95" customHeight="1" thickTop="1" thickBot="1" x14ac:dyDescent="0.25">
      <c r="A47" s="38" t="s">
        <v>881</v>
      </c>
      <c r="B47" s="39" t="s">
        <v>882</v>
      </c>
      <c r="C47" s="40" t="s">
        <v>129</v>
      </c>
      <c r="D47" s="40">
        <v>100</v>
      </c>
      <c r="E47" s="41">
        <v>126.6</v>
      </c>
      <c r="F47" s="41">
        <v>147.80000000000001</v>
      </c>
      <c r="G47" s="42">
        <v>162.69999999999999</v>
      </c>
      <c r="H47" s="37" t="s">
        <v>50</v>
      </c>
    </row>
    <row r="48" spans="1:8" ht="18.95" customHeight="1" thickTop="1" thickBot="1" x14ac:dyDescent="0.25">
      <c r="A48" s="38" t="s">
        <v>883</v>
      </c>
      <c r="B48" s="39" t="s">
        <v>882</v>
      </c>
      <c r="C48" s="40" t="s">
        <v>129</v>
      </c>
      <c r="D48" s="40">
        <v>100</v>
      </c>
      <c r="E48" s="41">
        <v>144.9</v>
      </c>
      <c r="F48" s="41">
        <v>159.80000000000001</v>
      </c>
      <c r="G48" s="42">
        <v>176</v>
      </c>
      <c r="H48" s="37" t="s">
        <v>50</v>
      </c>
    </row>
    <row r="49" spans="1:8" ht="18.95" customHeight="1" thickTop="1" thickBot="1" x14ac:dyDescent="0.25">
      <c r="A49" s="38" t="s">
        <v>884</v>
      </c>
      <c r="B49" s="39" t="s">
        <v>882</v>
      </c>
      <c r="C49" s="40" t="s">
        <v>129</v>
      </c>
      <c r="D49" s="40">
        <v>100</v>
      </c>
      <c r="E49" s="41">
        <v>168.8</v>
      </c>
      <c r="F49" s="41">
        <v>185.7</v>
      </c>
      <c r="G49" s="42">
        <v>204.4</v>
      </c>
      <c r="H49" s="37" t="s">
        <v>50</v>
      </c>
    </row>
    <row r="50" spans="1:8" ht="18.95" customHeight="1" thickTop="1" thickBot="1" x14ac:dyDescent="0.25">
      <c r="A50" s="38" t="s">
        <v>885</v>
      </c>
      <c r="B50" s="39" t="s">
        <v>882</v>
      </c>
      <c r="C50" s="40" t="s">
        <v>129</v>
      </c>
      <c r="D50" s="40">
        <v>100</v>
      </c>
      <c r="E50" s="41">
        <v>290</v>
      </c>
      <c r="F50" s="41">
        <v>318.3</v>
      </c>
      <c r="G50" s="42">
        <v>350.3</v>
      </c>
      <c r="H50" s="37" t="s">
        <v>50</v>
      </c>
    </row>
    <row r="51" spans="1:8" ht="18.95" customHeight="1" thickTop="1" thickBot="1" x14ac:dyDescent="0.25">
      <c r="A51" s="221" t="s">
        <v>886</v>
      </c>
      <c r="B51" s="222">
        <v>0</v>
      </c>
      <c r="C51" s="222">
        <v>0</v>
      </c>
      <c r="D51" s="222">
        <v>0</v>
      </c>
      <c r="E51" s="222">
        <v>0</v>
      </c>
      <c r="F51" s="222">
        <v>0</v>
      </c>
      <c r="G51" s="223">
        <v>0</v>
      </c>
      <c r="H51" s="37" t="s">
        <v>44</v>
      </c>
    </row>
    <row r="52" spans="1:8" ht="18.95" customHeight="1" thickTop="1" thickBot="1" x14ac:dyDescent="0.25">
      <c r="A52" s="38" t="s">
        <v>887</v>
      </c>
      <c r="B52" s="39" t="s">
        <v>888</v>
      </c>
      <c r="C52" s="40" t="s">
        <v>129</v>
      </c>
      <c r="D52" s="40">
        <v>40</v>
      </c>
      <c r="E52" s="41">
        <v>2345.9</v>
      </c>
      <c r="F52" s="41">
        <v>2580.6</v>
      </c>
      <c r="G52" s="42">
        <v>2851.6</v>
      </c>
      <c r="H52" s="37" t="s">
        <v>53</v>
      </c>
    </row>
    <row r="53" spans="1:8" ht="18.95" customHeight="1" thickTop="1" thickBot="1" x14ac:dyDescent="0.25">
      <c r="A53" s="221" t="s">
        <v>889</v>
      </c>
      <c r="B53" s="222">
        <v>0</v>
      </c>
      <c r="C53" s="222">
        <v>0</v>
      </c>
      <c r="D53" s="222">
        <v>0</v>
      </c>
      <c r="E53" s="222">
        <v>0</v>
      </c>
      <c r="F53" s="222">
        <v>0</v>
      </c>
      <c r="G53" s="223">
        <v>0</v>
      </c>
      <c r="H53" s="37" t="s">
        <v>44</v>
      </c>
    </row>
    <row r="54" spans="1:8" ht="18.95" customHeight="1" thickTop="1" thickBot="1" x14ac:dyDescent="0.25">
      <c r="A54" s="38">
        <v>878100</v>
      </c>
      <c r="B54" s="39" t="s">
        <v>890</v>
      </c>
      <c r="C54" s="40" t="s">
        <v>129</v>
      </c>
      <c r="D54" s="40">
        <v>100</v>
      </c>
      <c r="E54" s="41">
        <v>477.7</v>
      </c>
      <c r="F54" s="41">
        <v>525.20000000000005</v>
      </c>
      <c r="G54" s="42">
        <v>574.1</v>
      </c>
      <c r="H54" s="37" t="s">
        <v>53</v>
      </c>
    </row>
    <row r="55" spans="1:8" ht="18.95" customHeight="1" thickTop="1" thickBot="1" x14ac:dyDescent="0.25">
      <c r="A55" s="38">
        <v>878101</v>
      </c>
      <c r="B55" s="39" t="s">
        <v>891</v>
      </c>
      <c r="C55" s="40" t="s">
        <v>129</v>
      </c>
      <c r="D55" s="40">
        <v>100</v>
      </c>
      <c r="E55" s="41">
        <v>490.8</v>
      </c>
      <c r="F55" s="41">
        <v>540.79999999999995</v>
      </c>
      <c r="G55" s="42">
        <v>589.6</v>
      </c>
      <c r="H55" s="37" t="s">
        <v>53</v>
      </c>
    </row>
    <row r="56" spans="1:8" ht="18.95" customHeight="1" thickTop="1" thickBot="1" x14ac:dyDescent="0.25">
      <c r="A56" s="38">
        <v>878201</v>
      </c>
      <c r="B56" s="39" t="s">
        <v>892</v>
      </c>
      <c r="C56" s="40" t="s">
        <v>129</v>
      </c>
      <c r="D56" s="40">
        <v>18</v>
      </c>
      <c r="E56" s="41">
        <v>963.5</v>
      </c>
      <c r="F56" s="41">
        <v>1060</v>
      </c>
      <c r="G56" s="42">
        <v>1157.5</v>
      </c>
      <c r="H56" s="37" t="s">
        <v>53</v>
      </c>
    </row>
    <row r="57" spans="1:8" ht="18.95" customHeight="1" thickTop="1" thickBot="1" x14ac:dyDescent="0.25">
      <c r="A57" s="221" t="s">
        <v>893</v>
      </c>
      <c r="B57" s="222">
        <v>0</v>
      </c>
      <c r="C57" s="222">
        <v>0</v>
      </c>
      <c r="D57" s="222">
        <v>0</v>
      </c>
      <c r="E57" s="222">
        <v>0</v>
      </c>
      <c r="F57" s="222">
        <v>0</v>
      </c>
      <c r="G57" s="223">
        <v>0</v>
      </c>
      <c r="H57" s="37" t="s">
        <v>44</v>
      </c>
    </row>
    <row r="58" spans="1:8" ht="18.95" customHeight="1" thickTop="1" thickBot="1" x14ac:dyDescent="0.25">
      <c r="A58" s="38" t="s">
        <v>894</v>
      </c>
      <c r="B58" s="39" t="s">
        <v>895</v>
      </c>
      <c r="C58" s="40" t="s">
        <v>129</v>
      </c>
      <c r="D58" s="40">
        <v>220</v>
      </c>
      <c r="E58" s="41">
        <v>438.3</v>
      </c>
      <c r="F58" s="41">
        <v>482.5</v>
      </c>
      <c r="G58" s="42">
        <v>533.6</v>
      </c>
      <c r="H58" s="37" t="s">
        <v>50</v>
      </c>
    </row>
    <row r="59" spans="1:8" ht="18.95" customHeight="1" thickTop="1" thickBot="1" x14ac:dyDescent="0.25">
      <c r="A59" s="38" t="s">
        <v>896</v>
      </c>
      <c r="B59" s="39" t="s">
        <v>897</v>
      </c>
      <c r="C59" s="40" t="s">
        <v>129</v>
      </c>
      <c r="D59" s="40">
        <v>200</v>
      </c>
      <c r="E59" s="41">
        <v>541.79999999999995</v>
      </c>
      <c r="F59" s="41">
        <v>596.79999999999995</v>
      </c>
      <c r="G59" s="42">
        <v>658.6</v>
      </c>
      <c r="H59" s="37" t="s">
        <v>50</v>
      </c>
    </row>
    <row r="60" spans="1:8" ht="18.95" customHeight="1" thickTop="1" thickBot="1" x14ac:dyDescent="0.25">
      <c r="A60" s="38" t="s">
        <v>898</v>
      </c>
      <c r="B60" s="39" t="s">
        <v>899</v>
      </c>
      <c r="C60" s="40" t="s">
        <v>129</v>
      </c>
      <c r="D60" s="40">
        <v>100</v>
      </c>
      <c r="E60" s="41">
        <v>935.7</v>
      </c>
      <c r="F60" s="41">
        <v>1030.0999999999999</v>
      </c>
      <c r="G60" s="42">
        <v>1137.0999999999999</v>
      </c>
      <c r="H60" s="37" t="s">
        <v>50</v>
      </c>
    </row>
    <row r="61" spans="1:8" ht="18.95" customHeight="1" thickTop="1" thickBot="1" x14ac:dyDescent="0.25">
      <c r="A61" s="221" t="s">
        <v>900</v>
      </c>
      <c r="B61" s="222">
        <v>0</v>
      </c>
      <c r="C61" s="222">
        <v>0</v>
      </c>
      <c r="D61" s="222">
        <v>0</v>
      </c>
      <c r="E61" s="222">
        <v>0</v>
      </c>
      <c r="F61" s="222">
        <v>0</v>
      </c>
      <c r="G61" s="223">
        <v>0</v>
      </c>
      <c r="H61" s="37" t="s">
        <v>44</v>
      </c>
    </row>
    <row r="62" spans="1:8" ht="18.95" customHeight="1" thickTop="1" thickBot="1" x14ac:dyDescent="0.25">
      <c r="A62" s="38" t="s">
        <v>901</v>
      </c>
      <c r="B62" s="39" t="s">
        <v>902</v>
      </c>
      <c r="C62" s="40" t="s">
        <v>129</v>
      </c>
      <c r="D62" s="40">
        <v>110</v>
      </c>
      <c r="E62" s="41">
        <v>500.1</v>
      </c>
      <c r="F62" s="41">
        <v>551.4</v>
      </c>
      <c r="G62" s="42">
        <v>608.6</v>
      </c>
      <c r="H62" s="37" t="s">
        <v>50</v>
      </c>
    </row>
    <row r="63" spans="1:8" ht="18.95" customHeight="1" thickTop="1" thickBot="1" x14ac:dyDescent="0.25">
      <c r="A63" s="38" t="s">
        <v>903</v>
      </c>
      <c r="B63" s="39" t="s">
        <v>904</v>
      </c>
      <c r="C63" s="40" t="s">
        <v>129</v>
      </c>
      <c r="D63" s="40">
        <v>180</v>
      </c>
      <c r="E63" s="41">
        <v>641.9</v>
      </c>
      <c r="F63" s="41">
        <v>706.3</v>
      </c>
      <c r="G63" s="42">
        <v>780.1</v>
      </c>
      <c r="H63" s="37" t="s">
        <v>50</v>
      </c>
    </row>
    <row r="64" spans="1:8" ht="18.95" customHeight="1" thickTop="1" thickBot="1" x14ac:dyDescent="0.25">
      <c r="A64" s="38" t="s">
        <v>905</v>
      </c>
      <c r="B64" s="39" t="s">
        <v>906</v>
      </c>
      <c r="C64" s="40" t="s">
        <v>129</v>
      </c>
      <c r="D64" s="40">
        <v>100</v>
      </c>
      <c r="E64" s="41">
        <v>821.8</v>
      </c>
      <c r="F64" s="41">
        <v>903.9</v>
      </c>
      <c r="G64" s="42">
        <v>999.1</v>
      </c>
      <c r="H64" s="37" t="s">
        <v>50</v>
      </c>
    </row>
    <row r="65" spans="1:8" ht="18.95" customHeight="1" thickTop="1" thickBot="1" x14ac:dyDescent="0.25">
      <c r="A65" s="221" t="s">
        <v>907</v>
      </c>
      <c r="B65" s="222">
        <v>0</v>
      </c>
      <c r="C65" s="222">
        <v>0</v>
      </c>
      <c r="D65" s="222">
        <v>0</v>
      </c>
      <c r="E65" s="222">
        <v>0</v>
      </c>
      <c r="F65" s="222">
        <v>0</v>
      </c>
      <c r="G65" s="223">
        <v>0</v>
      </c>
      <c r="H65" s="37" t="s">
        <v>44</v>
      </c>
    </row>
    <row r="66" spans="1:8" ht="18.95" customHeight="1" thickTop="1" thickBot="1" x14ac:dyDescent="0.25">
      <c r="A66" s="38" t="s">
        <v>908</v>
      </c>
      <c r="B66" s="39" t="s">
        <v>909</v>
      </c>
      <c r="C66" s="40" t="s">
        <v>129</v>
      </c>
      <c r="D66" s="40">
        <v>200</v>
      </c>
      <c r="E66" s="41">
        <v>979.6</v>
      </c>
      <c r="F66" s="41">
        <v>1157.5</v>
      </c>
      <c r="G66" s="42">
        <v>1273.3</v>
      </c>
      <c r="H66" s="37" t="s">
        <v>53</v>
      </c>
    </row>
    <row r="67" spans="1:8" ht="18.95" customHeight="1" thickTop="1" thickBot="1" x14ac:dyDescent="0.25">
      <c r="A67" s="38" t="s">
        <v>910</v>
      </c>
      <c r="B67" s="39" t="s">
        <v>911</v>
      </c>
      <c r="C67" s="40" t="s">
        <v>129</v>
      </c>
      <c r="D67" s="40">
        <v>160</v>
      </c>
      <c r="E67" s="41">
        <v>1219.8</v>
      </c>
      <c r="F67" s="41">
        <v>1441.8</v>
      </c>
      <c r="G67" s="42">
        <v>1585.3</v>
      </c>
      <c r="H67" s="37" t="s">
        <v>53</v>
      </c>
    </row>
    <row r="68" spans="1:8" ht="18.95" customHeight="1" thickTop="1" thickBot="1" x14ac:dyDescent="0.25">
      <c r="A68" s="38" t="s">
        <v>912</v>
      </c>
      <c r="B68" s="39" t="s">
        <v>913</v>
      </c>
      <c r="C68" s="40" t="s">
        <v>129</v>
      </c>
      <c r="D68" s="40">
        <v>160</v>
      </c>
      <c r="E68" s="41">
        <v>1290.3</v>
      </c>
      <c r="F68" s="41">
        <v>1546.7</v>
      </c>
      <c r="G68" s="42">
        <v>1701.1</v>
      </c>
      <c r="H68" s="37" t="s">
        <v>53</v>
      </c>
    </row>
    <row r="69" spans="1:8" ht="18.95" customHeight="1" thickTop="1" thickBot="1" x14ac:dyDescent="0.25">
      <c r="A69" s="38" t="s">
        <v>914</v>
      </c>
      <c r="B69" s="39" t="s">
        <v>906</v>
      </c>
      <c r="C69" s="40" t="s">
        <v>129</v>
      </c>
      <c r="D69" s="40">
        <v>100</v>
      </c>
      <c r="E69" s="41">
        <v>1825.3</v>
      </c>
      <c r="F69" s="41">
        <v>2188.6999999999998</v>
      </c>
      <c r="G69" s="42">
        <v>2407.4</v>
      </c>
      <c r="H69" s="37" t="s">
        <v>50</v>
      </c>
    </row>
    <row r="70" spans="1:8" ht="18.95" customHeight="1" thickTop="1" thickBot="1" x14ac:dyDescent="0.25">
      <c r="A70" s="221" t="s">
        <v>915</v>
      </c>
      <c r="B70" s="222">
        <v>0</v>
      </c>
      <c r="C70" s="222">
        <v>0</v>
      </c>
      <c r="D70" s="222">
        <v>0</v>
      </c>
      <c r="E70" s="222">
        <v>0</v>
      </c>
      <c r="F70" s="222">
        <v>0</v>
      </c>
      <c r="G70" s="223">
        <v>0</v>
      </c>
      <c r="H70" s="37" t="s">
        <v>44</v>
      </c>
    </row>
    <row r="71" spans="1:8" ht="18.95" customHeight="1" thickTop="1" thickBot="1" x14ac:dyDescent="0.25">
      <c r="A71" s="45" t="s">
        <v>916</v>
      </c>
      <c r="B71" s="39" t="s">
        <v>909</v>
      </c>
      <c r="C71" s="40" t="s">
        <v>129</v>
      </c>
      <c r="D71" s="40">
        <v>1</v>
      </c>
      <c r="E71" s="268" t="s">
        <v>917</v>
      </c>
      <c r="F71" s="269">
        <v>0</v>
      </c>
      <c r="G71" s="270">
        <v>0</v>
      </c>
      <c r="H71" s="37" t="s">
        <v>50</v>
      </c>
    </row>
    <row r="72" spans="1:8" ht="18.95" customHeight="1" thickTop="1" thickBot="1" x14ac:dyDescent="0.25">
      <c r="A72" s="45" t="s">
        <v>918</v>
      </c>
      <c r="B72" s="39" t="s">
        <v>911</v>
      </c>
      <c r="C72" s="40" t="s">
        <v>129</v>
      </c>
      <c r="D72" s="40">
        <v>1</v>
      </c>
      <c r="E72" s="268" t="s">
        <v>917</v>
      </c>
      <c r="F72" s="269">
        <v>0</v>
      </c>
      <c r="G72" s="270">
        <v>0</v>
      </c>
      <c r="H72" s="37" t="s">
        <v>50</v>
      </c>
    </row>
    <row r="73" spans="1:8" ht="18.95" customHeight="1" thickTop="1" thickBot="1" x14ac:dyDescent="0.25">
      <c r="A73" s="45" t="s">
        <v>919</v>
      </c>
      <c r="B73" s="39" t="s">
        <v>913</v>
      </c>
      <c r="C73" s="40" t="s">
        <v>129</v>
      </c>
      <c r="D73" s="40">
        <v>1</v>
      </c>
      <c r="E73" s="268" t="s">
        <v>917</v>
      </c>
      <c r="F73" s="269">
        <v>0</v>
      </c>
      <c r="G73" s="270">
        <v>0</v>
      </c>
      <c r="H73" s="37" t="s">
        <v>50</v>
      </c>
    </row>
    <row r="74" spans="1:8" ht="18.95" customHeight="1" thickTop="1" thickBot="1" x14ac:dyDescent="0.25">
      <c r="A74" s="45" t="s">
        <v>920</v>
      </c>
      <c r="B74" s="39" t="s">
        <v>906</v>
      </c>
      <c r="C74" s="40" t="s">
        <v>129</v>
      </c>
      <c r="D74" s="40">
        <v>1</v>
      </c>
      <c r="E74" s="268" t="s">
        <v>917</v>
      </c>
      <c r="F74" s="269">
        <v>0</v>
      </c>
      <c r="G74" s="270">
        <v>0</v>
      </c>
      <c r="H74" s="37" t="s">
        <v>50</v>
      </c>
    </row>
    <row r="75" spans="1:8" ht="18.95" customHeight="1" thickTop="1" thickBot="1" x14ac:dyDescent="0.25">
      <c r="A75" s="221" t="s">
        <v>921</v>
      </c>
      <c r="B75" s="222">
        <v>0</v>
      </c>
      <c r="C75" s="222">
        <v>0</v>
      </c>
      <c r="D75" s="222">
        <v>0</v>
      </c>
      <c r="E75" s="222">
        <v>0</v>
      </c>
      <c r="F75" s="222">
        <v>0</v>
      </c>
      <c r="G75" s="223">
        <v>0</v>
      </c>
      <c r="H75" s="37" t="s">
        <v>44</v>
      </c>
    </row>
    <row r="76" spans="1:8" ht="18.95" customHeight="1" thickTop="1" thickBot="1" x14ac:dyDescent="0.25">
      <c r="A76" s="38" t="s">
        <v>922</v>
      </c>
      <c r="B76" s="39" t="s">
        <v>923</v>
      </c>
      <c r="C76" s="40" t="s">
        <v>129</v>
      </c>
      <c r="D76" s="40">
        <v>480</v>
      </c>
      <c r="E76" s="41">
        <v>168.8</v>
      </c>
      <c r="F76" s="41">
        <v>185.3</v>
      </c>
      <c r="G76" s="42">
        <v>202.5</v>
      </c>
      <c r="H76" s="37" t="s">
        <v>53</v>
      </c>
    </row>
    <row r="77" spans="1:8" ht="18.95" customHeight="1" thickTop="1" thickBot="1" x14ac:dyDescent="0.25">
      <c r="A77" s="38" t="s">
        <v>924</v>
      </c>
      <c r="B77" s="39" t="s">
        <v>925</v>
      </c>
      <c r="C77" s="40" t="s">
        <v>129</v>
      </c>
      <c r="D77" s="40">
        <v>240</v>
      </c>
      <c r="E77" s="41">
        <v>215.8</v>
      </c>
      <c r="F77" s="41">
        <v>237.2</v>
      </c>
      <c r="G77" s="42">
        <v>258.39999999999998</v>
      </c>
      <c r="H77" s="37" t="s">
        <v>53</v>
      </c>
    </row>
    <row r="78" spans="1:8" ht="18.95" customHeight="1" thickTop="1" thickBot="1" x14ac:dyDescent="0.25">
      <c r="A78" s="221" t="s">
        <v>926</v>
      </c>
      <c r="B78" s="222">
        <v>0</v>
      </c>
      <c r="C78" s="222">
        <v>0</v>
      </c>
      <c r="D78" s="222">
        <v>0</v>
      </c>
      <c r="E78" s="222">
        <v>0</v>
      </c>
      <c r="F78" s="222">
        <v>0</v>
      </c>
      <c r="G78" s="223">
        <v>0</v>
      </c>
      <c r="H78" s="37" t="s">
        <v>44</v>
      </c>
    </row>
    <row r="79" spans="1:8" ht="18.95" customHeight="1" thickTop="1" thickBot="1" x14ac:dyDescent="0.25">
      <c r="A79" s="38" t="s">
        <v>927</v>
      </c>
      <c r="B79" s="39" t="s">
        <v>928</v>
      </c>
      <c r="C79" s="40" t="s">
        <v>129</v>
      </c>
      <c r="D79" s="40">
        <v>240</v>
      </c>
      <c r="E79" s="41">
        <v>225.1</v>
      </c>
      <c r="F79" s="41">
        <v>247.7</v>
      </c>
      <c r="G79" s="42">
        <v>270.3</v>
      </c>
      <c r="H79" s="37" t="s">
        <v>53</v>
      </c>
    </row>
    <row r="80" spans="1:8" ht="18.95" customHeight="1" thickTop="1" thickBot="1" x14ac:dyDescent="0.25">
      <c r="A80" s="38" t="s">
        <v>929</v>
      </c>
      <c r="B80" s="39" t="s">
        <v>930</v>
      </c>
      <c r="C80" s="40" t="s">
        <v>129</v>
      </c>
      <c r="D80" s="40">
        <v>384</v>
      </c>
      <c r="E80" s="41">
        <v>225.1</v>
      </c>
      <c r="F80" s="41">
        <v>247.7</v>
      </c>
      <c r="G80" s="42">
        <v>270.3</v>
      </c>
      <c r="H80" s="37" t="s">
        <v>53</v>
      </c>
    </row>
    <row r="81" spans="1:8" ht="18.95" customHeight="1" thickTop="1" thickBot="1" x14ac:dyDescent="0.25">
      <c r="A81" s="38" t="s">
        <v>931</v>
      </c>
      <c r="B81" s="39" t="s">
        <v>932</v>
      </c>
      <c r="C81" s="40" t="s">
        <v>129</v>
      </c>
      <c r="D81" s="40">
        <v>15</v>
      </c>
      <c r="E81" s="41">
        <v>225.1</v>
      </c>
      <c r="F81" s="41">
        <v>247.7</v>
      </c>
      <c r="G81" s="42">
        <v>270.3</v>
      </c>
      <c r="H81" s="37" t="s">
        <v>53</v>
      </c>
    </row>
    <row r="82" spans="1:8" ht="18.95" customHeight="1" thickTop="1" thickBot="1" x14ac:dyDescent="0.25">
      <c r="A82" s="38" t="s">
        <v>933</v>
      </c>
      <c r="B82" s="39" t="s">
        <v>934</v>
      </c>
      <c r="C82" s="40" t="s">
        <v>129</v>
      </c>
      <c r="D82" s="40">
        <v>15</v>
      </c>
      <c r="E82" s="41">
        <v>225.1</v>
      </c>
      <c r="F82" s="41">
        <v>247.7</v>
      </c>
      <c r="G82" s="42">
        <v>270.3</v>
      </c>
      <c r="H82" s="37" t="s">
        <v>53</v>
      </c>
    </row>
    <row r="83" spans="1:8" ht="18.95" customHeight="1" thickTop="1" thickBot="1" x14ac:dyDescent="0.25">
      <c r="A83" s="38" t="s">
        <v>935</v>
      </c>
      <c r="B83" s="39" t="s">
        <v>936</v>
      </c>
      <c r="C83" s="40" t="s">
        <v>129</v>
      </c>
      <c r="D83" s="40">
        <v>240</v>
      </c>
      <c r="E83" s="41">
        <v>269.2</v>
      </c>
      <c r="F83" s="41">
        <v>295.39999999999998</v>
      </c>
      <c r="G83" s="42">
        <v>322.7</v>
      </c>
      <c r="H83" s="37" t="s">
        <v>53</v>
      </c>
    </row>
    <row r="84" spans="1:8" ht="18.95" customHeight="1" thickTop="1" thickBot="1" x14ac:dyDescent="0.25">
      <c r="A84" s="38" t="s">
        <v>937</v>
      </c>
      <c r="B84" s="39" t="s">
        <v>938</v>
      </c>
      <c r="C84" s="40" t="s">
        <v>129</v>
      </c>
      <c r="D84" s="40">
        <v>312</v>
      </c>
      <c r="E84" s="41">
        <v>282.2</v>
      </c>
      <c r="F84" s="41">
        <v>310.89999999999998</v>
      </c>
      <c r="G84" s="42">
        <v>339.5</v>
      </c>
      <c r="H84" s="37" t="s">
        <v>53</v>
      </c>
    </row>
    <row r="85" spans="1:8" ht="18.95" customHeight="1" thickTop="1" thickBot="1" x14ac:dyDescent="0.25">
      <c r="A85" s="38" t="s">
        <v>939</v>
      </c>
      <c r="B85" s="39" t="s">
        <v>940</v>
      </c>
      <c r="C85" s="40" t="s">
        <v>129</v>
      </c>
      <c r="D85" s="40">
        <v>250</v>
      </c>
      <c r="E85" s="41">
        <v>269.2</v>
      </c>
      <c r="F85" s="41">
        <v>295.39999999999998</v>
      </c>
      <c r="G85" s="42">
        <v>322.7</v>
      </c>
      <c r="H85" s="37" t="s">
        <v>53</v>
      </c>
    </row>
    <row r="86" spans="1:8" ht="18.95" customHeight="1" thickTop="1" thickBot="1" x14ac:dyDescent="0.25">
      <c r="A86" s="38" t="s">
        <v>941</v>
      </c>
      <c r="B86" s="39" t="s">
        <v>942</v>
      </c>
      <c r="C86" s="40" t="s">
        <v>129</v>
      </c>
      <c r="D86" s="40">
        <v>300</v>
      </c>
      <c r="E86" s="41">
        <v>269.2</v>
      </c>
      <c r="F86" s="41">
        <v>295.39999999999998</v>
      </c>
      <c r="G86" s="42">
        <v>322.7</v>
      </c>
      <c r="H86" s="37" t="s">
        <v>53</v>
      </c>
    </row>
    <row r="87" spans="1:8" ht="18.95" customHeight="1" thickTop="1" thickBot="1" x14ac:dyDescent="0.25">
      <c r="A87" s="38" t="s">
        <v>943</v>
      </c>
      <c r="B87" s="39" t="s">
        <v>944</v>
      </c>
      <c r="C87" s="40" t="s">
        <v>129</v>
      </c>
      <c r="D87" s="40">
        <v>360</v>
      </c>
      <c r="E87" s="41">
        <v>282.2</v>
      </c>
      <c r="F87" s="41">
        <v>310.89999999999998</v>
      </c>
      <c r="G87" s="42">
        <v>339.5</v>
      </c>
      <c r="H87" s="37" t="s">
        <v>53</v>
      </c>
    </row>
    <row r="88" spans="1:8" ht="18.95" customHeight="1" thickTop="1" thickBot="1" x14ac:dyDescent="0.25">
      <c r="A88" s="38" t="s">
        <v>945</v>
      </c>
      <c r="B88" s="39" t="s">
        <v>946</v>
      </c>
      <c r="C88" s="40" t="s">
        <v>129</v>
      </c>
      <c r="D88" s="40">
        <v>170</v>
      </c>
      <c r="E88" s="41">
        <v>282.2</v>
      </c>
      <c r="F88" s="41">
        <v>310.89999999999998</v>
      </c>
      <c r="G88" s="42">
        <v>339.5</v>
      </c>
      <c r="H88" s="37" t="s">
        <v>53</v>
      </c>
    </row>
    <row r="89" spans="1:8" ht="18.95" customHeight="1" thickTop="1" thickBot="1" x14ac:dyDescent="0.25">
      <c r="A89" s="38" t="s">
        <v>947</v>
      </c>
      <c r="B89" s="39" t="s">
        <v>948</v>
      </c>
      <c r="C89" s="40" t="s">
        <v>129</v>
      </c>
      <c r="D89" s="40">
        <v>250</v>
      </c>
      <c r="E89" s="41">
        <v>282.2</v>
      </c>
      <c r="F89" s="41">
        <v>310.89999999999998</v>
      </c>
      <c r="G89" s="42">
        <v>339.5</v>
      </c>
      <c r="H89" s="37" t="s">
        <v>50</v>
      </c>
    </row>
    <row r="90" spans="1:8" ht="18.95" customHeight="1" thickTop="1" thickBot="1" x14ac:dyDescent="0.25">
      <c r="A90" s="38" t="s">
        <v>949</v>
      </c>
      <c r="B90" s="39" t="s">
        <v>950</v>
      </c>
      <c r="C90" s="40" t="s">
        <v>129</v>
      </c>
      <c r="D90" s="40">
        <v>240</v>
      </c>
      <c r="E90" s="41">
        <v>282.2</v>
      </c>
      <c r="F90" s="41">
        <v>310.89999999999998</v>
      </c>
      <c r="G90" s="42">
        <v>339.5</v>
      </c>
      <c r="H90" s="37" t="s">
        <v>53</v>
      </c>
    </row>
    <row r="91" spans="1:8" ht="18.95" customHeight="1" thickTop="1" thickBot="1" x14ac:dyDescent="0.25">
      <c r="A91" s="38" t="s">
        <v>951</v>
      </c>
      <c r="B91" s="39" t="s">
        <v>952</v>
      </c>
      <c r="C91" s="40" t="s">
        <v>129</v>
      </c>
      <c r="D91" s="40">
        <v>20</v>
      </c>
      <c r="E91" s="41">
        <v>315.60000000000002</v>
      </c>
      <c r="F91" s="41">
        <v>346.5</v>
      </c>
      <c r="G91" s="42">
        <v>378.6</v>
      </c>
      <c r="H91" s="37" t="s">
        <v>53</v>
      </c>
    </row>
    <row r="92" spans="1:8" ht="18.95" customHeight="1" thickTop="1" thickBot="1" x14ac:dyDescent="0.25">
      <c r="A92" s="38" t="s">
        <v>953</v>
      </c>
      <c r="B92" s="39" t="s">
        <v>954</v>
      </c>
      <c r="C92" s="40" t="s">
        <v>129</v>
      </c>
      <c r="D92" s="40">
        <v>192</v>
      </c>
      <c r="E92" s="41">
        <v>356.1</v>
      </c>
      <c r="F92" s="41">
        <v>390.6</v>
      </c>
      <c r="G92" s="42">
        <v>427.6</v>
      </c>
      <c r="H92" s="37" t="s">
        <v>53</v>
      </c>
    </row>
    <row r="93" spans="1:8" ht="18.95" customHeight="1" thickTop="1" thickBot="1" x14ac:dyDescent="0.25">
      <c r="A93" s="38" t="s">
        <v>955</v>
      </c>
      <c r="B93" s="39" t="s">
        <v>956</v>
      </c>
      <c r="C93" s="40" t="s">
        <v>129</v>
      </c>
      <c r="D93" s="40">
        <v>180</v>
      </c>
      <c r="E93" s="41">
        <v>315.60000000000002</v>
      </c>
      <c r="F93" s="41">
        <v>346.5</v>
      </c>
      <c r="G93" s="42">
        <v>378.6</v>
      </c>
      <c r="H93" s="37" t="s">
        <v>53</v>
      </c>
    </row>
    <row r="94" spans="1:8" ht="14.25" thickTop="1" thickBot="1" x14ac:dyDescent="0.25">
      <c r="A94" s="38" t="s">
        <v>957</v>
      </c>
      <c r="B94" s="39" t="s">
        <v>958</v>
      </c>
      <c r="C94" s="40" t="s">
        <v>129</v>
      </c>
      <c r="D94" s="40">
        <v>204</v>
      </c>
      <c r="E94" s="41">
        <v>315.60000000000002</v>
      </c>
      <c r="F94" s="41">
        <v>346.5</v>
      </c>
      <c r="G94" s="42">
        <v>378.6</v>
      </c>
      <c r="H94" s="37" t="s">
        <v>53</v>
      </c>
    </row>
    <row r="95" spans="1:8" ht="14.25" thickTop="1" thickBot="1" x14ac:dyDescent="0.25">
      <c r="A95" s="38" t="s">
        <v>959</v>
      </c>
      <c r="B95" s="39" t="s">
        <v>960</v>
      </c>
      <c r="C95" s="40" t="s">
        <v>129</v>
      </c>
      <c r="D95" s="40">
        <v>180</v>
      </c>
      <c r="E95" s="41">
        <v>356.1</v>
      </c>
      <c r="F95" s="41">
        <v>390.6</v>
      </c>
      <c r="G95" s="42">
        <v>427.6</v>
      </c>
      <c r="H95" s="37" t="s">
        <v>50</v>
      </c>
    </row>
    <row r="96" spans="1:8" ht="14.25" thickTop="1" thickBot="1" x14ac:dyDescent="0.25">
      <c r="A96" s="38" t="s">
        <v>961</v>
      </c>
      <c r="B96" s="39" t="s">
        <v>962</v>
      </c>
      <c r="C96" s="40" t="s">
        <v>129</v>
      </c>
      <c r="D96" s="40">
        <v>480</v>
      </c>
      <c r="E96" s="41">
        <v>248.9</v>
      </c>
      <c r="F96" s="41">
        <v>273.89999999999998</v>
      </c>
      <c r="G96" s="42">
        <v>298.89999999999998</v>
      </c>
      <c r="H96" s="37" t="s">
        <v>53</v>
      </c>
    </row>
    <row r="97" spans="1:8" ht="14.25" thickTop="1" thickBot="1" x14ac:dyDescent="0.25">
      <c r="A97" s="38" t="s">
        <v>963</v>
      </c>
      <c r="B97" s="39" t="s">
        <v>964</v>
      </c>
      <c r="C97" s="40" t="s">
        <v>129</v>
      </c>
      <c r="D97" s="40">
        <v>180</v>
      </c>
      <c r="E97" s="41">
        <v>248.9</v>
      </c>
      <c r="F97" s="41">
        <v>273.89999999999998</v>
      </c>
      <c r="G97" s="42">
        <v>298.89999999999998</v>
      </c>
      <c r="H97" s="37" t="s">
        <v>53</v>
      </c>
    </row>
    <row r="98" spans="1:8" ht="27" thickTop="1" thickBot="1" x14ac:dyDescent="0.25">
      <c r="A98" s="38" t="s">
        <v>965</v>
      </c>
      <c r="B98" s="39" t="s">
        <v>966</v>
      </c>
      <c r="C98" s="40" t="s">
        <v>129</v>
      </c>
      <c r="D98" s="40">
        <v>1000</v>
      </c>
      <c r="E98" s="41">
        <v>248.9</v>
      </c>
      <c r="F98" s="41">
        <v>273.89999999999998</v>
      </c>
      <c r="G98" s="42">
        <v>298.89999999999998</v>
      </c>
      <c r="H98" s="37" t="s">
        <v>50</v>
      </c>
    </row>
    <row r="99" spans="1:8" ht="14.25" thickTop="1" thickBot="1" x14ac:dyDescent="0.25">
      <c r="A99" s="38" t="s">
        <v>967</v>
      </c>
      <c r="B99" s="39" t="s">
        <v>968</v>
      </c>
      <c r="C99" s="40" t="s">
        <v>129</v>
      </c>
      <c r="D99" s="40">
        <v>180</v>
      </c>
      <c r="E99" s="41">
        <v>248.9</v>
      </c>
      <c r="F99" s="41">
        <v>273.89999999999998</v>
      </c>
      <c r="G99" s="42">
        <v>298.89999999999998</v>
      </c>
      <c r="H99" s="37" t="s">
        <v>53</v>
      </c>
    </row>
    <row r="100" spans="1:8" ht="14.25" thickTop="1" thickBot="1" x14ac:dyDescent="0.25">
      <c r="A100" s="38" t="s">
        <v>969</v>
      </c>
      <c r="B100" s="39" t="s">
        <v>970</v>
      </c>
      <c r="C100" s="40" t="s">
        <v>129</v>
      </c>
      <c r="D100" s="40">
        <v>11</v>
      </c>
      <c r="E100" s="41">
        <v>232.3</v>
      </c>
      <c r="F100" s="41">
        <v>254.9</v>
      </c>
      <c r="G100" s="42">
        <v>278.8</v>
      </c>
      <c r="H100" s="37" t="s">
        <v>53</v>
      </c>
    </row>
    <row r="101" spans="1:8" ht="14.25" thickTop="1" thickBot="1" x14ac:dyDescent="0.25">
      <c r="A101" s="38" t="s">
        <v>971</v>
      </c>
      <c r="B101" s="39" t="s">
        <v>972</v>
      </c>
      <c r="C101" s="40" t="s">
        <v>129</v>
      </c>
      <c r="D101" s="40">
        <v>250</v>
      </c>
      <c r="E101" s="41">
        <v>232.3</v>
      </c>
      <c r="F101" s="41">
        <v>254.9</v>
      </c>
      <c r="G101" s="42">
        <v>278.8</v>
      </c>
      <c r="H101" s="37" t="s">
        <v>53</v>
      </c>
    </row>
    <row r="102" spans="1:8" ht="14.25" thickTop="1" thickBot="1" x14ac:dyDescent="0.25">
      <c r="A102" s="38" t="s">
        <v>973</v>
      </c>
      <c r="B102" s="39" t="s">
        <v>974</v>
      </c>
      <c r="C102" s="40" t="s">
        <v>129</v>
      </c>
      <c r="D102" s="40">
        <v>240</v>
      </c>
      <c r="E102" s="41">
        <v>232.3</v>
      </c>
      <c r="F102" s="41">
        <v>254.9</v>
      </c>
      <c r="G102" s="42">
        <v>278.8</v>
      </c>
      <c r="H102" s="37" t="s">
        <v>53</v>
      </c>
    </row>
    <row r="103" spans="1:8" ht="27" thickTop="1" thickBot="1" x14ac:dyDescent="0.25">
      <c r="A103" s="38" t="s">
        <v>975</v>
      </c>
      <c r="B103" s="39" t="s">
        <v>976</v>
      </c>
      <c r="C103" s="40" t="s">
        <v>129</v>
      </c>
      <c r="D103" s="40">
        <v>240</v>
      </c>
      <c r="E103" s="41">
        <v>248.9</v>
      </c>
      <c r="F103" s="41">
        <v>273.89999999999998</v>
      </c>
      <c r="G103" s="42">
        <v>298.89999999999998</v>
      </c>
      <c r="H103" s="37" t="s">
        <v>53</v>
      </c>
    </row>
    <row r="104" spans="1:8" ht="27" thickTop="1" thickBot="1" x14ac:dyDescent="0.25">
      <c r="A104" s="38" t="s">
        <v>977</v>
      </c>
      <c r="B104" s="39" t="s">
        <v>978</v>
      </c>
      <c r="C104" s="40" t="s">
        <v>129</v>
      </c>
      <c r="D104" s="40">
        <v>480</v>
      </c>
      <c r="E104" s="41">
        <v>248.9</v>
      </c>
      <c r="F104" s="41">
        <v>273.89999999999998</v>
      </c>
      <c r="G104" s="42">
        <v>298.89999999999998</v>
      </c>
      <c r="H104" s="37" t="s">
        <v>50</v>
      </c>
    </row>
    <row r="105" spans="1:8" ht="27" thickTop="1" thickBot="1" x14ac:dyDescent="0.25">
      <c r="A105" s="38" t="s">
        <v>979</v>
      </c>
      <c r="B105" s="39" t="s">
        <v>980</v>
      </c>
      <c r="C105" s="40" t="s">
        <v>129</v>
      </c>
      <c r="D105" s="40">
        <v>240</v>
      </c>
      <c r="E105" s="41">
        <v>227.6</v>
      </c>
      <c r="F105" s="41">
        <v>250.1</v>
      </c>
      <c r="G105" s="42">
        <v>272.60000000000002</v>
      </c>
      <c r="H105" s="37" t="s">
        <v>50</v>
      </c>
    </row>
    <row r="106" spans="1:8" ht="27" thickTop="1" thickBot="1" x14ac:dyDescent="0.25">
      <c r="A106" s="38" t="s">
        <v>981</v>
      </c>
      <c r="B106" s="39" t="s">
        <v>982</v>
      </c>
      <c r="C106" s="40" t="s">
        <v>129</v>
      </c>
      <c r="D106" s="40">
        <v>250</v>
      </c>
      <c r="E106" s="41">
        <v>151.30000000000001</v>
      </c>
      <c r="F106" s="41">
        <v>166.6</v>
      </c>
      <c r="G106" s="42">
        <v>182.2</v>
      </c>
      <c r="H106" s="37" t="s">
        <v>53</v>
      </c>
    </row>
    <row r="107" spans="1:8" ht="27" thickTop="1" thickBot="1" x14ac:dyDescent="0.25">
      <c r="A107" s="38" t="s">
        <v>983</v>
      </c>
      <c r="B107" s="39" t="s">
        <v>984</v>
      </c>
      <c r="C107" s="40" t="s">
        <v>129</v>
      </c>
      <c r="D107" s="40">
        <v>250</v>
      </c>
      <c r="E107" s="41">
        <v>151.30000000000001</v>
      </c>
      <c r="F107" s="41">
        <v>166.6</v>
      </c>
      <c r="G107" s="42">
        <v>182.2</v>
      </c>
      <c r="H107" s="37" t="s">
        <v>50</v>
      </c>
    </row>
    <row r="108" spans="1:8" ht="14.25" thickTop="1" thickBot="1" x14ac:dyDescent="0.25">
      <c r="A108" s="38" t="s">
        <v>985</v>
      </c>
      <c r="B108" s="39" t="s">
        <v>986</v>
      </c>
      <c r="C108" s="40" t="s">
        <v>129</v>
      </c>
      <c r="D108" s="40">
        <v>100</v>
      </c>
      <c r="E108" s="41">
        <v>151.30000000000001</v>
      </c>
      <c r="F108" s="41">
        <v>166.6</v>
      </c>
      <c r="G108" s="42">
        <v>182.2</v>
      </c>
      <c r="H108" s="37" t="s">
        <v>53</v>
      </c>
    </row>
    <row r="109" spans="1:8" ht="27" thickTop="1" thickBot="1" x14ac:dyDescent="0.25">
      <c r="A109" s="38" t="s">
        <v>987</v>
      </c>
      <c r="B109" s="39" t="s">
        <v>988</v>
      </c>
      <c r="C109" s="40" t="s">
        <v>129</v>
      </c>
      <c r="D109" s="40">
        <v>250</v>
      </c>
      <c r="E109" s="41">
        <v>151.30000000000001</v>
      </c>
      <c r="F109" s="41">
        <v>166.6</v>
      </c>
      <c r="G109" s="42">
        <v>182.2</v>
      </c>
      <c r="H109" s="37" t="s">
        <v>50</v>
      </c>
    </row>
    <row r="110" spans="1:8" ht="14.25" thickTop="1" thickBot="1" x14ac:dyDescent="0.25">
      <c r="A110" s="221" t="s">
        <v>989</v>
      </c>
      <c r="B110" s="222">
        <v>0</v>
      </c>
      <c r="C110" s="222">
        <v>0</v>
      </c>
      <c r="D110" s="222">
        <v>0</v>
      </c>
      <c r="E110" s="222">
        <v>0</v>
      </c>
      <c r="F110" s="222">
        <v>0</v>
      </c>
      <c r="G110" s="223">
        <v>0</v>
      </c>
      <c r="H110" s="37" t="s">
        <v>44</v>
      </c>
    </row>
    <row r="111" spans="1:8" ht="14.25" thickTop="1" thickBot="1" x14ac:dyDescent="0.25">
      <c r="A111" s="38" t="s">
        <v>990</v>
      </c>
      <c r="B111" s="39" t="s">
        <v>991</v>
      </c>
      <c r="C111" s="40" t="s">
        <v>129</v>
      </c>
      <c r="D111" s="40">
        <v>300</v>
      </c>
      <c r="E111" s="41">
        <v>197</v>
      </c>
      <c r="F111" s="41">
        <v>245.1</v>
      </c>
      <c r="G111" s="42">
        <v>269.10000000000002</v>
      </c>
      <c r="H111" s="37" t="s">
        <v>53</v>
      </c>
    </row>
    <row r="112" spans="1:8" ht="14.25" thickTop="1" thickBot="1" x14ac:dyDescent="0.25">
      <c r="A112" s="38" t="s">
        <v>992</v>
      </c>
      <c r="B112" s="39" t="s">
        <v>993</v>
      </c>
      <c r="C112" s="40" t="s">
        <v>129</v>
      </c>
      <c r="D112" s="40">
        <v>240</v>
      </c>
      <c r="E112" s="41">
        <v>197</v>
      </c>
      <c r="F112" s="41">
        <v>245.1</v>
      </c>
      <c r="G112" s="42">
        <v>269.10000000000002</v>
      </c>
      <c r="H112" s="37" t="s">
        <v>53</v>
      </c>
    </row>
    <row r="113" spans="1:8" ht="14.25" thickTop="1" thickBot="1" x14ac:dyDescent="0.25">
      <c r="A113" s="38" t="s">
        <v>994</v>
      </c>
      <c r="B113" s="39" t="s">
        <v>995</v>
      </c>
      <c r="C113" s="40" t="s">
        <v>129</v>
      </c>
      <c r="D113" s="40">
        <v>80</v>
      </c>
      <c r="E113" s="41">
        <v>240.5</v>
      </c>
      <c r="F113" s="41">
        <v>298.89999999999998</v>
      </c>
      <c r="G113" s="42">
        <v>328.6</v>
      </c>
      <c r="H113" s="37" t="s">
        <v>53</v>
      </c>
    </row>
    <row r="114" spans="1:8" ht="14.25" thickTop="1" thickBot="1" x14ac:dyDescent="0.25">
      <c r="A114" s="38" t="s">
        <v>996</v>
      </c>
      <c r="B114" s="39" t="s">
        <v>997</v>
      </c>
      <c r="C114" s="40" t="s">
        <v>129</v>
      </c>
      <c r="D114" s="40">
        <v>50</v>
      </c>
      <c r="E114" s="41">
        <v>197</v>
      </c>
      <c r="F114" s="41">
        <v>245.1</v>
      </c>
      <c r="G114" s="41">
        <v>269.10000000000002</v>
      </c>
      <c r="H114" s="37" t="s">
        <v>53</v>
      </c>
    </row>
    <row r="115" spans="1:8" ht="14.25" thickTop="1" thickBot="1" x14ac:dyDescent="0.25">
      <c r="A115" s="38" t="s">
        <v>998</v>
      </c>
      <c r="B115" s="39" t="s">
        <v>999</v>
      </c>
      <c r="C115" s="40" t="s">
        <v>129</v>
      </c>
      <c r="D115" s="40">
        <v>240</v>
      </c>
      <c r="E115" s="41">
        <v>156.9</v>
      </c>
      <c r="F115" s="41">
        <v>195.8</v>
      </c>
      <c r="G115" s="41">
        <v>215.2</v>
      </c>
      <c r="H115" s="37" t="s">
        <v>53</v>
      </c>
    </row>
    <row r="116" spans="1:8" ht="14.25" thickTop="1" thickBot="1" x14ac:dyDescent="0.25">
      <c r="A116" s="221" t="s">
        <v>1000</v>
      </c>
      <c r="B116" s="222">
        <v>0</v>
      </c>
      <c r="C116" s="222">
        <v>0</v>
      </c>
      <c r="D116" s="222">
        <v>0</v>
      </c>
      <c r="E116" s="222">
        <v>0</v>
      </c>
      <c r="F116" s="222">
        <v>0</v>
      </c>
      <c r="G116" s="223">
        <v>0</v>
      </c>
      <c r="H116" s="37" t="s">
        <v>44</v>
      </c>
    </row>
    <row r="117" spans="1:8" ht="14.25" thickTop="1" thickBot="1" x14ac:dyDescent="0.25">
      <c r="A117" s="221" t="s">
        <v>1001</v>
      </c>
      <c r="B117" s="222">
        <v>0</v>
      </c>
      <c r="C117" s="222">
        <v>0</v>
      </c>
      <c r="D117" s="222">
        <v>0</v>
      </c>
      <c r="E117" s="222">
        <v>0</v>
      </c>
      <c r="F117" s="222">
        <v>0</v>
      </c>
      <c r="G117" s="223">
        <v>0</v>
      </c>
      <c r="H117" s="37" t="s">
        <v>44</v>
      </c>
    </row>
    <row r="118" spans="1:8" ht="14.25" thickTop="1" thickBot="1" x14ac:dyDescent="0.25">
      <c r="A118" s="38" t="s">
        <v>1002</v>
      </c>
      <c r="B118" s="39" t="s">
        <v>1003</v>
      </c>
      <c r="C118" s="40">
        <v>0</v>
      </c>
      <c r="D118" s="40">
        <v>1000</v>
      </c>
      <c r="E118" s="41">
        <v>55</v>
      </c>
      <c r="F118" s="41">
        <v>59.6</v>
      </c>
      <c r="G118" s="42">
        <v>66.400000000000006</v>
      </c>
      <c r="H118" s="37" t="s">
        <v>53</v>
      </c>
    </row>
    <row r="119" spans="1:8" ht="14.25" thickTop="1" thickBot="1" x14ac:dyDescent="0.25">
      <c r="A119" s="38" t="s">
        <v>1004</v>
      </c>
      <c r="B119" s="39" t="s">
        <v>1005</v>
      </c>
      <c r="C119" s="40">
        <v>0</v>
      </c>
      <c r="D119" s="40">
        <v>1000</v>
      </c>
      <c r="E119" s="41">
        <v>55</v>
      </c>
      <c r="F119" s="41">
        <v>59.6</v>
      </c>
      <c r="G119" s="42">
        <v>66.400000000000006</v>
      </c>
      <c r="H119" s="37" t="s">
        <v>53</v>
      </c>
    </row>
    <row r="120" spans="1:8" ht="14.25" thickTop="1" thickBot="1" x14ac:dyDescent="0.25">
      <c r="A120" s="38" t="s">
        <v>1006</v>
      </c>
      <c r="B120" s="39" t="s">
        <v>1007</v>
      </c>
      <c r="C120" s="40">
        <v>0</v>
      </c>
      <c r="D120" s="40">
        <v>1000</v>
      </c>
      <c r="E120" s="41">
        <v>72.099999999999994</v>
      </c>
      <c r="F120" s="41">
        <v>78.900000000000006</v>
      </c>
      <c r="G120" s="42">
        <v>88.1</v>
      </c>
      <c r="H120" s="37" t="s">
        <v>53</v>
      </c>
    </row>
    <row r="121" spans="1:8" ht="14.25" thickTop="1" thickBot="1" x14ac:dyDescent="0.25">
      <c r="A121" s="38" t="s">
        <v>1008</v>
      </c>
      <c r="B121" s="39" t="s">
        <v>1009</v>
      </c>
      <c r="C121" s="40">
        <v>0</v>
      </c>
      <c r="D121" s="40">
        <v>1000</v>
      </c>
      <c r="E121" s="41">
        <v>72.099999999999994</v>
      </c>
      <c r="F121" s="41">
        <v>78.900000000000006</v>
      </c>
      <c r="G121" s="42">
        <v>88.1</v>
      </c>
      <c r="H121" s="37" t="s">
        <v>53</v>
      </c>
    </row>
    <row r="122" spans="1:8" ht="14.25" thickTop="1" thickBot="1" x14ac:dyDescent="0.25">
      <c r="A122" s="221" t="s">
        <v>1010</v>
      </c>
      <c r="B122" s="222">
        <v>0</v>
      </c>
      <c r="C122" s="222">
        <v>0</v>
      </c>
      <c r="D122" s="222">
        <v>0</v>
      </c>
      <c r="E122" s="222">
        <v>0</v>
      </c>
      <c r="F122" s="222">
        <v>0</v>
      </c>
      <c r="G122" s="223">
        <v>0</v>
      </c>
      <c r="H122" s="37" t="s">
        <v>44</v>
      </c>
    </row>
    <row r="123" spans="1:8" ht="14.25" thickTop="1" thickBot="1" x14ac:dyDescent="0.25">
      <c r="A123" s="38" t="s">
        <v>1011</v>
      </c>
      <c r="B123" s="39" t="s">
        <v>1003</v>
      </c>
      <c r="C123" s="40">
        <v>0</v>
      </c>
      <c r="D123" s="40">
        <v>500</v>
      </c>
      <c r="E123" s="41">
        <v>222.1</v>
      </c>
      <c r="F123" s="41">
        <v>202</v>
      </c>
      <c r="G123" s="42">
        <v>245.4</v>
      </c>
      <c r="H123" s="37" t="s">
        <v>53</v>
      </c>
    </row>
    <row r="124" spans="1:8" ht="14.25" thickTop="1" thickBot="1" x14ac:dyDescent="0.25">
      <c r="A124" s="38" t="s">
        <v>1012</v>
      </c>
      <c r="B124" s="39" t="s">
        <v>1005</v>
      </c>
      <c r="C124" s="40">
        <v>0</v>
      </c>
      <c r="D124" s="40">
        <v>500</v>
      </c>
      <c r="E124" s="41">
        <v>203.3</v>
      </c>
      <c r="F124" s="41">
        <v>184.4</v>
      </c>
      <c r="G124" s="42">
        <v>223.1</v>
      </c>
      <c r="H124" s="37" t="s">
        <v>53</v>
      </c>
    </row>
    <row r="125" spans="1:8" ht="14.25" thickTop="1" thickBot="1" x14ac:dyDescent="0.25">
      <c r="A125" s="38" t="s">
        <v>1013</v>
      </c>
      <c r="B125" s="39" t="s">
        <v>1014</v>
      </c>
      <c r="C125" s="40">
        <v>0</v>
      </c>
      <c r="D125" s="40">
        <v>500</v>
      </c>
      <c r="E125" s="41">
        <v>210.7</v>
      </c>
      <c r="F125" s="41">
        <v>231.3</v>
      </c>
      <c r="G125" s="42">
        <v>256.5</v>
      </c>
      <c r="H125" s="37" t="s">
        <v>53</v>
      </c>
    </row>
    <row r="126" spans="1:8" ht="14.25" thickTop="1" thickBot="1" x14ac:dyDescent="0.25">
      <c r="A126" s="38" t="s">
        <v>1015</v>
      </c>
      <c r="B126" s="39" t="s">
        <v>1016</v>
      </c>
      <c r="C126" s="40">
        <v>0</v>
      </c>
      <c r="D126" s="40">
        <v>500</v>
      </c>
      <c r="E126" s="41">
        <v>200.5</v>
      </c>
      <c r="F126" s="41">
        <v>219.9</v>
      </c>
      <c r="G126" s="42">
        <v>242.8</v>
      </c>
      <c r="H126" s="37" t="s">
        <v>53</v>
      </c>
    </row>
    <row r="127" spans="1:8" ht="14.25" thickTop="1" thickBot="1" x14ac:dyDescent="0.25">
      <c r="A127" s="38" t="s">
        <v>1017</v>
      </c>
      <c r="B127" s="39" t="s">
        <v>1018</v>
      </c>
      <c r="C127" s="40">
        <v>0</v>
      </c>
      <c r="D127" s="40">
        <v>500</v>
      </c>
      <c r="E127" s="41">
        <v>254.3</v>
      </c>
      <c r="F127" s="41">
        <v>280.60000000000002</v>
      </c>
      <c r="G127" s="42">
        <v>309.3</v>
      </c>
      <c r="H127" s="37" t="s">
        <v>53</v>
      </c>
    </row>
    <row r="128" spans="1:8" ht="14.25" thickTop="1" thickBot="1" x14ac:dyDescent="0.25">
      <c r="A128" s="38" t="s">
        <v>1019</v>
      </c>
      <c r="B128" s="39" t="s">
        <v>1020</v>
      </c>
      <c r="C128" s="40">
        <v>0</v>
      </c>
      <c r="D128" s="40">
        <v>500</v>
      </c>
      <c r="E128" s="41">
        <v>232.6</v>
      </c>
      <c r="F128" s="41">
        <v>255.3</v>
      </c>
      <c r="G128" s="42">
        <v>281.7</v>
      </c>
      <c r="H128" s="37" t="s">
        <v>53</v>
      </c>
    </row>
    <row r="129" spans="1:8" ht="14.25" thickTop="1" thickBot="1" x14ac:dyDescent="0.25">
      <c r="A129" s="221" t="s">
        <v>1021</v>
      </c>
      <c r="B129" s="222">
        <v>0</v>
      </c>
      <c r="C129" s="222">
        <v>0</v>
      </c>
      <c r="D129" s="222">
        <v>0</v>
      </c>
      <c r="E129" s="222">
        <v>0</v>
      </c>
      <c r="F129" s="222">
        <v>0</v>
      </c>
      <c r="G129" s="223">
        <v>0</v>
      </c>
      <c r="H129" s="37" t="s">
        <v>44</v>
      </c>
    </row>
    <row r="130" spans="1:8" ht="14.25" thickTop="1" thickBot="1" x14ac:dyDescent="0.25">
      <c r="A130" s="38" t="s">
        <v>1022</v>
      </c>
      <c r="B130" s="39" t="s">
        <v>1023</v>
      </c>
      <c r="C130" s="40">
        <v>0</v>
      </c>
      <c r="D130" s="40">
        <v>50</v>
      </c>
      <c r="E130" s="41">
        <v>817</v>
      </c>
      <c r="F130" s="41">
        <v>898.7</v>
      </c>
      <c r="G130" s="42">
        <v>993.1</v>
      </c>
      <c r="H130" s="37" t="s">
        <v>50</v>
      </c>
    </row>
    <row r="131" spans="1:8" ht="14.25" thickTop="1" thickBot="1" x14ac:dyDescent="0.25">
      <c r="A131" s="38" t="s">
        <v>1024</v>
      </c>
      <c r="B131" s="39" t="s">
        <v>1025</v>
      </c>
      <c r="C131" s="40">
        <v>0</v>
      </c>
      <c r="D131" s="40">
        <v>100</v>
      </c>
      <c r="E131" s="41">
        <v>1634.4</v>
      </c>
      <c r="F131" s="41">
        <v>1798.2</v>
      </c>
      <c r="G131" s="42">
        <v>1987</v>
      </c>
      <c r="H131" s="37" t="s">
        <v>50</v>
      </c>
    </row>
    <row r="132" spans="1:8" ht="14.25" thickTop="1" thickBot="1" x14ac:dyDescent="0.25">
      <c r="A132" s="38" t="s">
        <v>1026</v>
      </c>
      <c r="B132" s="39" t="s">
        <v>1027</v>
      </c>
      <c r="C132" s="40">
        <v>0</v>
      </c>
      <c r="D132" s="40">
        <v>50</v>
      </c>
      <c r="E132" s="41">
        <v>2451.6</v>
      </c>
      <c r="F132" s="41">
        <v>2697</v>
      </c>
      <c r="G132" s="42">
        <v>2980</v>
      </c>
      <c r="H132" s="37" t="s">
        <v>50</v>
      </c>
    </row>
    <row r="133" spans="1:8" ht="14.25" thickTop="1" thickBot="1" x14ac:dyDescent="0.25">
      <c r="A133" s="221" t="s">
        <v>1028</v>
      </c>
      <c r="B133" s="222">
        <v>0</v>
      </c>
      <c r="C133" s="222">
        <v>0</v>
      </c>
      <c r="D133" s="222">
        <v>0</v>
      </c>
      <c r="E133" s="222">
        <v>0</v>
      </c>
      <c r="F133" s="222">
        <v>0</v>
      </c>
      <c r="G133" s="223">
        <v>0</v>
      </c>
      <c r="H133" s="37" t="s">
        <v>44</v>
      </c>
    </row>
    <row r="134" spans="1:8" ht="14.25" thickTop="1" thickBot="1" x14ac:dyDescent="0.25">
      <c r="A134" s="49" t="s">
        <v>1029</v>
      </c>
      <c r="B134" s="50" t="s">
        <v>1030</v>
      </c>
      <c r="C134" s="51" t="s">
        <v>129</v>
      </c>
      <c r="D134" s="51">
        <v>50</v>
      </c>
      <c r="E134" s="52">
        <v>125.5</v>
      </c>
      <c r="F134" s="52">
        <v>137.80000000000001</v>
      </c>
      <c r="G134" s="53">
        <v>152.1</v>
      </c>
      <c r="H134" s="54" t="s">
        <v>53</v>
      </c>
    </row>
    <row r="135" spans="1:8" ht="13.5" thickTop="1" x14ac:dyDescent="0.2">
      <c r="A135" s="55"/>
      <c r="B135" s="56"/>
      <c r="C135" s="57"/>
      <c r="D135" s="57"/>
      <c r="E135" s="58"/>
      <c r="F135" s="58"/>
      <c r="G135" s="58"/>
      <c r="H135" s="59"/>
    </row>
    <row r="136" spans="1:8" x14ac:dyDescent="0.2">
      <c r="A136" s="55"/>
      <c r="B136" s="56"/>
      <c r="C136" s="57"/>
      <c r="D136" s="57"/>
      <c r="E136" s="58"/>
      <c r="F136" s="58"/>
      <c r="G136" s="58"/>
      <c r="H136" s="59"/>
    </row>
    <row r="137" spans="1:8" x14ac:dyDescent="0.2">
      <c r="A137" s="55"/>
      <c r="B137" s="56"/>
      <c r="C137" s="57"/>
      <c r="D137" s="57"/>
      <c r="E137" s="58"/>
      <c r="F137" s="58"/>
      <c r="G137" s="58"/>
      <c r="H137" s="59"/>
    </row>
    <row r="138" spans="1:8" x14ac:dyDescent="0.2">
      <c r="A138" s="55"/>
      <c r="B138" s="56"/>
      <c r="C138" s="57"/>
      <c r="D138" s="57"/>
      <c r="E138" s="58"/>
      <c r="F138" s="58"/>
      <c r="G138" s="58"/>
      <c r="H138" s="59"/>
    </row>
    <row r="139" spans="1:8" x14ac:dyDescent="0.2">
      <c r="A139" s="55"/>
      <c r="B139" s="56"/>
      <c r="C139" s="57"/>
      <c r="D139" s="57"/>
      <c r="E139" s="58"/>
      <c r="F139" s="58"/>
      <c r="G139" s="58"/>
      <c r="H139" s="59"/>
    </row>
    <row r="140" spans="1:8" x14ac:dyDescent="0.2">
      <c r="A140" s="55"/>
      <c r="B140" s="56"/>
      <c r="C140" s="57"/>
      <c r="D140" s="57"/>
      <c r="E140" s="58"/>
      <c r="F140" s="58"/>
      <c r="G140" s="58"/>
      <c r="H140" s="59"/>
    </row>
    <row r="141" spans="1:8" x14ac:dyDescent="0.2">
      <c r="A141" s="55"/>
      <c r="B141" s="56"/>
      <c r="C141" s="57"/>
      <c r="D141" s="57"/>
      <c r="E141" s="58"/>
      <c r="F141" s="58"/>
      <c r="G141" s="58"/>
      <c r="H141" s="59"/>
    </row>
    <row r="142" spans="1:8" x14ac:dyDescent="0.2">
      <c r="A142" s="55"/>
      <c r="B142" s="56"/>
      <c r="C142" s="57"/>
      <c r="D142" s="57"/>
      <c r="E142" s="58"/>
      <c r="F142" s="58"/>
      <c r="G142" s="58"/>
      <c r="H142" s="59"/>
    </row>
    <row r="143" spans="1:8" x14ac:dyDescent="0.2">
      <c r="A143" s="55"/>
      <c r="B143" s="56"/>
      <c r="C143" s="57"/>
      <c r="D143" s="57"/>
      <c r="E143" s="58"/>
      <c r="F143" s="58"/>
      <c r="G143" s="58"/>
      <c r="H143" s="59"/>
    </row>
    <row r="144" spans="1:8" x14ac:dyDescent="0.2">
      <c r="A144" s="55"/>
      <c r="B144" s="56"/>
      <c r="C144" s="57"/>
      <c r="D144" s="57"/>
      <c r="E144" s="58"/>
      <c r="F144" s="58"/>
      <c r="G144" s="58"/>
      <c r="H144" s="59"/>
    </row>
    <row r="145" spans="1:8" x14ac:dyDescent="0.2">
      <c r="A145" s="55"/>
      <c r="B145" s="56"/>
      <c r="C145" s="57"/>
      <c r="D145" s="57"/>
      <c r="E145" s="58"/>
      <c r="F145" s="58"/>
      <c r="G145" s="58"/>
      <c r="H145" s="59"/>
    </row>
    <row r="146" spans="1:8" x14ac:dyDescent="0.2">
      <c r="A146" s="55"/>
      <c r="B146" s="56"/>
      <c r="C146" s="57"/>
      <c r="D146" s="57"/>
      <c r="E146" s="58"/>
      <c r="F146" s="58"/>
      <c r="G146" s="58"/>
      <c r="H146" s="59"/>
    </row>
    <row r="147" spans="1:8" x14ac:dyDescent="0.2">
      <c r="A147" s="55"/>
      <c r="B147" s="56"/>
      <c r="C147" s="57"/>
      <c r="D147" s="57"/>
      <c r="E147" s="58"/>
      <c r="F147" s="58"/>
      <c r="G147" s="58"/>
      <c r="H147" s="59"/>
    </row>
    <row r="148" spans="1:8" x14ac:dyDescent="0.2">
      <c r="A148" s="55"/>
      <c r="B148" s="56"/>
      <c r="C148" s="57"/>
      <c r="D148" s="57"/>
      <c r="E148" s="58"/>
      <c r="F148" s="58"/>
      <c r="G148" s="58"/>
      <c r="H148" s="59"/>
    </row>
    <row r="149" spans="1:8" x14ac:dyDescent="0.2">
      <c r="A149" s="55"/>
      <c r="B149" s="56"/>
      <c r="C149" s="57"/>
      <c r="D149" s="57"/>
      <c r="E149" s="58"/>
      <c r="F149" s="58"/>
      <c r="G149" s="58"/>
      <c r="H149" s="59"/>
    </row>
    <row r="150" spans="1:8" x14ac:dyDescent="0.2">
      <c r="A150" s="55"/>
      <c r="B150" s="56"/>
      <c r="C150" s="57"/>
      <c r="D150" s="57"/>
      <c r="E150" s="58"/>
      <c r="F150" s="58"/>
      <c r="G150" s="58"/>
      <c r="H150" s="59"/>
    </row>
    <row r="151" spans="1:8" x14ac:dyDescent="0.2">
      <c r="A151" s="55"/>
      <c r="B151" s="56"/>
      <c r="C151" s="57"/>
      <c r="D151" s="57"/>
      <c r="E151" s="58"/>
      <c r="F151" s="58"/>
      <c r="G151" s="58"/>
      <c r="H151" s="59"/>
    </row>
    <row r="152" spans="1:8" x14ac:dyDescent="0.2">
      <c r="A152" s="55"/>
      <c r="B152" s="56"/>
      <c r="C152" s="57"/>
      <c r="D152" s="57"/>
      <c r="E152" s="58"/>
      <c r="F152" s="58"/>
      <c r="G152" s="58"/>
      <c r="H152" s="59"/>
    </row>
    <row r="153" spans="1:8" x14ac:dyDescent="0.2">
      <c r="A153" s="55"/>
      <c r="B153" s="56"/>
      <c r="C153" s="57"/>
      <c r="D153" s="57"/>
      <c r="E153" s="58"/>
      <c r="F153" s="58"/>
      <c r="G153" s="58"/>
      <c r="H153" s="59"/>
    </row>
    <row r="154" spans="1:8" x14ac:dyDescent="0.2">
      <c r="A154" s="55"/>
      <c r="B154" s="56"/>
      <c r="C154" s="57"/>
      <c r="D154" s="57"/>
      <c r="E154" s="58"/>
      <c r="F154" s="58"/>
      <c r="G154" s="58"/>
      <c r="H154" s="59"/>
    </row>
    <row r="155" spans="1:8" x14ac:dyDescent="0.2">
      <c r="A155" s="55"/>
      <c r="B155" s="56"/>
      <c r="C155" s="57"/>
      <c r="D155" s="57"/>
      <c r="E155" s="58"/>
      <c r="F155" s="58"/>
      <c r="G155" s="58"/>
      <c r="H155" s="59"/>
    </row>
    <row r="156" spans="1:8" x14ac:dyDescent="0.2">
      <c r="A156" s="55"/>
      <c r="B156" s="56"/>
      <c r="C156" s="57"/>
      <c r="D156" s="57"/>
      <c r="E156" s="58"/>
      <c r="F156" s="58"/>
      <c r="G156" s="58"/>
      <c r="H156" s="59"/>
    </row>
    <row r="157" spans="1:8" x14ac:dyDescent="0.2">
      <c r="A157" s="55"/>
      <c r="B157" s="56"/>
      <c r="C157" s="57"/>
      <c r="D157" s="57"/>
      <c r="E157" s="58"/>
      <c r="F157" s="58"/>
      <c r="G157" s="58"/>
      <c r="H157" s="59"/>
    </row>
    <row r="158" spans="1:8" x14ac:dyDescent="0.2">
      <c r="A158" s="55"/>
      <c r="B158" s="56"/>
      <c r="C158" s="57"/>
      <c r="D158" s="57"/>
      <c r="E158" s="58"/>
      <c r="F158" s="58"/>
      <c r="G158" s="58"/>
      <c r="H158" s="59"/>
    </row>
    <row r="159" spans="1:8" x14ac:dyDescent="0.2">
      <c r="A159" s="55"/>
      <c r="B159" s="56"/>
      <c r="C159" s="57"/>
      <c r="D159" s="57"/>
      <c r="E159" s="58"/>
      <c r="F159" s="58"/>
      <c r="G159" s="58"/>
      <c r="H159" s="59"/>
    </row>
    <row r="160" spans="1:8" x14ac:dyDescent="0.2">
      <c r="A160" s="55"/>
      <c r="B160" s="56"/>
      <c r="C160" s="57"/>
      <c r="D160" s="57"/>
      <c r="E160" s="58"/>
      <c r="F160" s="58"/>
      <c r="G160" s="58"/>
      <c r="H160" s="59"/>
    </row>
    <row r="161" spans="1:8" x14ac:dyDescent="0.2">
      <c r="A161" s="55"/>
      <c r="B161" s="56"/>
      <c r="C161" s="57"/>
      <c r="D161" s="57"/>
      <c r="E161" s="58"/>
      <c r="F161" s="58"/>
      <c r="G161" s="58"/>
      <c r="H161" s="59"/>
    </row>
    <row r="162" spans="1:8" x14ac:dyDescent="0.2">
      <c r="A162" s="55"/>
      <c r="B162" s="56"/>
      <c r="C162" s="57"/>
      <c r="D162" s="57"/>
      <c r="E162" s="58"/>
      <c r="F162" s="58"/>
      <c r="G162" s="58"/>
      <c r="H162" s="59"/>
    </row>
    <row r="163" spans="1:8" x14ac:dyDescent="0.2">
      <c r="A163" s="55"/>
      <c r="B163" s="56"/>
      <c r="C163" s="57"/>
      <c r="D163" s="57"/>
      <c r="E163" s="58"/>
      <c r="F163" s="58"/>
      <c r="G163" s="58"/>
      <c r="H163" s="59"/>
    </row>
    <row r="164" spans="1:8" x14ac:dyDescent="0.2">
      <c r="A164" s="55"/>
      <c r="B164" s="56"/>
      <c r="C164" s="57"/>
      <c r="D164" s="57"/>
      <c r="E164" s="58"/>
      <c r="F164" s="58"/>
      <c r="G164" s="58"/>
      <c r="H164" s="59"/>
    </row>
    <row r="165" spans="1:8" x14ac:dyDescent="0.2">
      <c r="A165" s="55"/>
      <c r="B165" s="56"/>
      <c r="C165" s="57"/>
      <c r="D165" s="57"/>
      <c r="E165" s="58"/>
      <c r="F165" s="58"/>
      <c r="G165" s="58"/>
      <c r="H165" s="59"/>
    </row>
    <row r="166" spans="1:8" x14ac:dyDescent="0.2">
      <c r="A166" s="55"/>
      <c r="B166" s="56"/>
      <c r="C166" s="57"/>
      <c r="D166" s="57"/>
      <c r="E166" s="58"/>
      <c r="F166" s="58"/>
      <c r="G166" s="58"/>
      <c r="H166" s="59"/>
    </row>
    <row r="167" spans="1:8" x14ac:dyDescent="0.2">
      <c r="A167" s="55"/>
      <c r="B167" s="56"/>
      <c r="C167" s="57"/>
      <c r="D167" s="57"/>
      <c r="E167" s="58"/>
      <c r="F167" s="58"/>
      <c r="G167" s="58"/>
      <c r="H167" s="59"/>
    </row>
    <row r="168" spans="1:8" x14ac:dyDescent="0.2">
      <c r="A168" s="55"/>
      <c r="B168" s="56"/>
      <c r="C168" s="57"/>
      <c r="D168" s="57"/>
      <c r="E168" s="58"/>
      <c r="F168" s="58"/>
      <c r="G168" s="58"/>
      <c r="H168" s="59"/>
    </row>
    <row r="169" spans="1:8" x14ac:dyDescent="0.2">
      <c r="A169" s="55"/>
      <c r="B169" s="56"/>
      <c r="C169" s="57"/>
      <c r="D169" s="57"/>
      <c r="E169" s="58"/>
      <c r="F169" s="58"/>
      <c r="G169" s="58"/>
      <c r="H169" s="59"/>
    </row>
    <row r="170" spans="1:8" x14ac:dyDescent="0.2">
      <c r="A170" s="55"/>
      <c r="B170" s="56"/>
      <c r="C170" s="57"/>
      <c r="D170" s="57"/>
      <c r="E170" s="58"/>
      <c r="F170" s="58"/>
      <c r="G170" s="58"/>
      <c r="H170" s="59"/>
    </row>
    <row r="171" spans="1:8" x14ac:dyDescent="0.2">
      <c r="A171" s="55"/>
      <c r="B171" s="56"/>
      <c r="C171" s="57"/>
      <c r="D171" s="57"/>
      <c r="E171" s="58"/>
      <c r="F171" s="58"/>
      <c r="G171" s="58"/>
      <c r="H171" s="59"/>
    </row>
    <row r="172" spans="1:8" x14ac:dyDescent="0.2">
      <c r="A172" s="55"/>
      <c r="B172" s="56"/>
      <c r="C172" s="57"/>
      <c r="D172" s="57"/>
      <c r="E172" s="58"/>
      <c r="F172" s="58"/>
      <c r="G172" s="58"/>
      <c r="H172" s="59"/>
    </row>
    <row r="173" spans="1:8" x14ac:dyDescent="0.2">
      <c r="A173" s="55"/>
      <c r="B173" s="56"/>
      <c r="C173" s="57"/>
      <c r="D173" s="57"/>
      <c r="E173" s="58"/>
      <c r="F173" s="58"/>
      <c r="G173" s="58"/>
      <c r="H173" s="59"/>
    </row>
    <row r="174" spans="1:8" x14ac:dyDescent="0.2">
      <c r="A174" s="55"/>
      <c r="B174" s="56"/>
      <c r="C174" s="57"/>
      <c r="D174" s="57"/>
      <c r="E174" s="58"/>
      <c r="F174" s="58"/>
      <c r="G174" s="58"/>
      <c r="H174" s="59"/>
    </row>
    <row r="175" spans="1:8" x14ac:dyDescent="0.2">
      <c r="A175" s="55"/>
      <c r="B175" s="56"/>
      <c r="C175" s="57"/>
      <c r="D175" s="57"/>
      <c r="E175" s="58"/>
      <c r="F175" s="58"/>
      <c r="G175" s="58"/>
      <c r="H175" s="59"/>
    </row>
    <row r="176" spans="1:8" x14ac:dyDescent="0.2">
      <c r="A176" s="55"/>
      <c r="B176" s="56"/>
      <c r="C176" s="57"/>
      <c r="D176" s="57"/>
      <c r="E176" s="58"/>
      <c r="F176" s="58"/>
      <c r="G176" s="58"/>
      <c r="H176" s="59"/>
    </row>
    <row r="177" spans="1:8" x14ac:dyDescent="0.2">
      <c r="A177" s="55"/>
      <c r="B177" s="56"/>
      <c r="C177" s="57"/>
      <c r="D177" s="57"/>
      <c r="E177" s="58"/>
      <c r="F177" s="58"/>
      <c r="G177" s="58"/>
      <c r="H177" s="59"/>
    </row>
    <row r="178" spans="1:8" x14ac:dyDescent="0.2">
      <c r="A178" s="55"/>
      <c r="B178" s="56"/>
      <c r="C178" s="57"/>
      <c r="D178" s="57"/>
      <c r="E178" s="58"/>
      <c r="F178" s="58"/>
      <c r="G178" s="58"/>
      <c r="H178" s="59"/>
    </row>
    <row r="179" spans="1:8" x14ac:dyDescent="0.2">
      <c r="A179" s="55"/>
      <c r="B179" s="56"/>
      <c r="C179" s="57"/>
      <c r="D179" s="57"/>
      <c r="E179" s="58"/>
      <c r="F179" s="58"/>
      <c r="G179" s="58"/>
      <c r="H179" s="59"/>
    </row>
  </sheetData>
  <mergeCells count="38">
    <mergeCell ref="A1:B1"/>
    <mergeCell ref="A2:A3"/>
    <mergeCell ref="B2:B3"/>
    <mergeCell ref="C2:C3"/>
    <mergeCell ref="D2:D3"/>
    <mergeCell ref="A38:G38"/>
    <mergeCell ref="G2:G3"/>
    <mergeCell ref="H2:H3"/>
    <mergeCell ref="A4:G5"/>
    <mergeCell ref="A6:G6"/>
    <mergeCell ref="A7:G7"/>
    <mergeCell ref="A8:G8"/>
    <mergeCell ref="E2:F2"/>
    <mergeCell ref="A16:G16"/>
    <mergeCell ref="A24:G24"/>
    <mergeCell ref="A28:G28"/>
    <mergeCell ref="A32:G32"/>
    <mergeCell ref="A34:G34"/>
    <mergeCell ref="E74:G74"/>
    <mergeCell ref="A42:G42"/>
    <mergeCell ref="A46:G46"/>
    <mergeCell ref="A51:G51"/>
    <mergeCell ref="A53:G53"/>
    <mergeCell ref="A57:G57"/>
    <mergeCell ref="A61:G61"/>
    <mergeCell ref="A65:G65"/>
    <mergeCell ref="A70:G70"/>
    <mergeCell ref="E71:G71"/>
    <mergeCell ref="E72:G72"/>
    <mergeCell ref="E73:G73"/>
    <mergeCell ref="A129:G129"/>
    <mergeCell ref="A133:G133"/>
    <mergeCell ref="A75:G75"/>
    <mergeCell ref="A78:G78"/>
    <mergeCell ref="A110:G110"/>
    <mergeCell ref="A116:G116"/>
    <mergeCell ref="A117:G117"/>
    <mergeCell ref="A122:G122"/>
  </mergeCells>
  <phoneticPr fontId="0" type="noConversion"/>
  <conditionalFormatting sqref="C25:C27 C29:D31 C52:D52 C58:D60 C62:D64 C118:D121 C123:D128 C130:D132 C54:D56 C66:D69 C111:D115 C91:D109 C79:D89 C33:D33 C9:D23 C35:D50 C1:C2 D1:D3">
    <cfRule type="cellIs" dxfId="145" priority="34" stopIfTrue="1" operator="equal">
      <formula>0</formula>
    </cfRule>
  </conditionalFormatting>
  <conditionalFormatting sqref="D25:D27">
    <cfRule type="cellIs" dxfId="144" priority="33" stopIfTrue="1" operator="equal">
      <formula>0</formula>
    </cfRule>
  </conditionalFormatting>
  <conditionalFormatting sqref="C99:D100">
    <cfRule type="cellIs" dxfId="143" priority="32" stopIfTrue="1" operator="equal">
      <formula>0</formula>
    </cfRule>
  </conditionalFormatting>
  <conditionalFormatting sqref="C24:D24">
    <cfRule type="cellIs" dxfId="142" priority="31" stopIfTrue="1" operator="equal">
      <formula>0</formula>
    </cfRule>
  </conditionalFormatting>
  <conditionalFormatting sqref="C51:D51">
    <cfRule type="cellIs" dxfId="141" priority="27" stopIfTrue="1" operator="equal">
      <formula>0</formula>
    </cfRule>
  </conditionalFormatting>
  <conditionalFormatting sqref="C65:D65">
    <cfRule type="cellIs" dxfId="140" priority="23" stopIfTrue="1" operator="equal">
      <formula>0</formula>
    </cfRule>
  </conditionalFormatting>
  <conditionalFormatting sqref="C28:D28">
    <cfRule type="cellIs" dxfId="139" priority="30" stopIfTrue="1" operator="equal">
      <formula>0</formula>
    </cfRule>
  </conditionalFormatting>
  <conditionalFormatting sqref="C34:D34">
    <cfRule type="cellIs" dxfId="138" priority="29" stopIfTrue="1" operator="equal">
      <formula>0</formula>
    </cfRule>
  </conditionalFormatting>
  <conditionalFormatting sqref="C16:D16">
    <cfRule type="cellIs" dxfId="137" priority="28" stopIfTrue="1" operator="equal">
      <formula>0</formula>
    </cfRule>
  </conditionalFormatting>
  <conditionalFormatting sqref="C53:D53">
    <cfRule type="cellIs" dxfId="136" priority="26" stopIfTrue="1" operator="equal">
      <formula>0</formula>
    </cfRule>
  </conditionalFormatting>
  <conditionalFormatting sqref="C57:D57">
    <cfRule type="cellIs" dxfId="135" priority="25" stopIfTrue="1" operator="equal">
      <formula>0</formula>
    </cfRule>
  </conditionalFormatting>
  <conditionalFormatting sqref="C61:D61">
    <cfRule type="cellIs" dxfId="134" priority="24" stopIfTrue="1" operator="equal">
      <formula>0</formula>
    </cfRule>
  </conditionalFormatting>
  <conditionalFormatting sqref="C87:D87">
    <cfRule type="cellIs" dxfId="133" priority="22" stopIfTrue="1" operator="equal">
      <formula>0</formula>
    </cfRule>
  </conditionalFormatting>
  <conditionalFormatting sqref="C90:D90">
    <cfRule type="cellIs" dxfId="132" priority="21" stopIfTrue="1" operator="equal">
      <formula>0</formula>
    </cfRule>
  </conditionalFormatting>
  <conditionalFormatting sqref="C134:D134">
    <cfRule type="cellIs" dxfId="131" priority="20" stopIfTrue="1" operator="equal">
      <formula>0</formula>
    </cfRule>
  </conditionalFormatting>
  <conditionalFormatting sqref="C50:D50 C118:D121 C123:D128 C130:D132">
    <cfRule type="cellIs" dxfId="130" priority="19" stopIfTrue="1" operator="equal">
      <formula>0</formula>
    </cfRule>
  </conditionalFormatting>
  <conditionalFormatting sqref="C75:D75">
    <cfRule type="cellIs" dxfId="129" priority="18" stopIfTrue="1" operator="equal">
      <formula>0</formula>
    </cfRule>
  </conditionalFormatting>
  <conditionalFormatting sqref="C78:D78">
    <cfRule type="cellIs" dxfId="128" priority="17" stopIfTrue="1" operator="equal">
      <formula>0</formula>
    </cfRule>
  </conditionalFormatting>
  <conditionalFormatting sqref="C110:D110">
    <cfRule type="cellIs" dxfId="127" priority="16" stopIfTrue="1" operator="equal">
      <formula>0</formula>
    </cfRule>
  </conditionalFormatting>
  <conditionalFormatting sqref="C42:D42">
    <cfRule type="cellIs" dxfId="126" priority="15" stopIfTrue="1" operator="equal">
      <formula>0</formula>
    </cfRule>
  </conditionalFormatting>
  <conditionalFormatting sqref="C38:D38">
    <cfRule type="cellIs" dxfId="125" priority="14" stopIfTrue="1" operator="equal">
      <formula>0</formula>
    </cfRule>
  </conditionalFormatting>
  <conditionalFormatting sqref="C46:D46">
    <cfRule type="cellIs" dxfId="124" priority="13" stopIfTrue="1" operator="equal">
      <formula>0</formula>
    </cfRule>
  </conditionalFormatting>
  <conditionalFormatting sqref="C116:D116">
    <cfRule type="cellIs" dxfId="123" priority="12" stopIfTrue="1" operator="equal">
      <formula>0</formula>
    </cfRule>
  </conditionalFormatting>
  <conditionalFormatting sqref="C117:D117">
    <cfRule type="cellIs" dxfId="122" priority="11" stopIfTrue="1" operator="equal">
      <formula>0</formula>
    </cfRule>
  </conditionalFormatting>
  <conditionalFormatting sqref="C122:D122">
    <cfRule type="cellIs" dxfId="121" priority="10" stopIfTrue="1" operator="equal">
      <formula>0</formula>
    </cfRule>
  </conditionalFormatting>
  <conditionalFormatting sqref="C133:D133">
    <cfRule type="cellIs" dxfId="120" priority="8" stopIfTrue="1" operator="equal">
      <formula>0</formula>
    </cfRule>
  </conditionalFormatting>
  <conditionalFormatting sqref="C32:D32">
    <cfRule type="cellIs" dxfId="119" priority="7" stopIfTrue="1" operator="equal">
      <formula>0</formula>
    </cfRule>
  </conditionalFormatting>
  <conditionalFormatting sqref="C71:D74">
    <cfRule type="cellIs" dxfId="118" priority="5" stopIfTrue="1" operator="equal">
      <formula>0</formula>
    </cfRule>
  </conditionalFormatting>
  <conditionalFormatting sqref="C76:D77">
    <cfRule type="cellIs" dxfId="117" priority="6" stopIfTrue="1" operator="equal">
      <formula>0</formula>
    </cfRule>
  </conditionalFormatting>
  <conditionalFormatting sqref="C129:D129">
    <cfRule type="cellIs" dxfId="116" priority="9" stopIfTrue="1" operator="equal">
      <formula>0</formula>
    </cfRule>
  </conditionalFormatting>
  <conditionalFormatting sqref="C70:D70">
    <cfRule type="cellIs" dxfId="115" priority="4" stopIfTrue="1" operator="equal">
      <formula>0</formula>
    </cfRule>
  </conditionalFormatting>
  <conditionalFormatting sqref="C7:D7">
    <cfRule type="cellIs" dxfId="114" priority="3" stopIfTrue="1" operator="equal">
      <formula>0</formula>
    </cfRule>
  </conditionalFormatting>
  <conditionalFormatting sqref="C8:D8">
    <cfRule type="cellIs" dxfId="113" priority="2" stopIfTrue="1" operator="equal">
      <formula>0</formula>
    </cfRule>
  </conditionalFormatting>
  <conditionalFormatting sqref="C135:D179">
    <cfRule type="cellIs" dxfId="112" priority="1" stopIfTrue="1" operator="equal">
      <formula>0</formula>
    </cfRule>
  </conditionalFormatting>
  <pageMargins left="0.15748031496062992" right="0.15748031496062992" top="0.39370078740157483" bottom="0.37" header="0" footer="0.17"/>
  <pageSetup paperSize="9" scale="63" fitToHeight="6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H131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3.42578125" customWidth="1"/>
    <col min="2" max="2" width="86.5703125" customWidth="1"/>
    <col min="3" max="3" width="10.85546875" customWidth="1"/>
    <col min="4" max="4" width="9.85546875" customWidth="1"/>
    <col min="5" max="6" width="10.5703125" customWidth="1"/>
    <col min="7" max="7" width="10.4257812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23.2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6.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8.9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1031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1032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1033</v>
      </c>
      <c r="B9" s="39" t="s">
        <v>1034</v>
      </c>
      <c r="C9" s="40">
        <v>0</v>
      </c>
      <c r="D9" s="40">
        <v>100</v>
      </c>
      <c r="E9" s="41">
        <v>32.200000000000003</v>
      </c>
      <c r="F9" s="41">
        <v>35.299999999999997</v>
      </c>
      <c r="G9" s="42">
        <v>39</v>
      </c>
      <c r="H9" s="37" t="s">
        <v>53</v>
      </c>
    </row>
    <row r="10" spans="1:8" ht="18.95" customHeight="1" thickTop="1" thickBot="1" x14ac:dyDescent="0.25">
      <c r="A10" s="221" t="s">
        <v>1035</v>
      </c>
      <c r="B10" s="222">
        <v>0</v>
      </c>
      <c r="C10" s="222">
        <v>0</v>
      </c>
      <c r="D10" s="222">
        <v>0</v>
      </c>
      <c r="E10" s="222">
        <v>0</v>
      </c>
      <c r="F10" s="222">
        <v>0</v>
      </c>
      <c r="G10" s="223">
        <v>0</v>
      </c>
      <c r="H10" s="37" t="s">
        <v>44</v>
      </c>
    </row>
    <row r="11" spans="1:8" ht="18.95" customHeight="1" thickTop="1" thickBot="1" x14ac:dyDescent="0.25">
      <c r="A11" s="38" t="s">
        <v>1036</v>
      </c>
      <c r="B11" s="39" t="s">
        <v>1037</v>
      </c>
      <c r="C11" s="40" t="s">
        <v>129</v>
      </c>
      <c r="D11" s="40">
        <v>400</v>
      </c>
      <c r="E11" s="104">
        <v>72.7</v>
      </c>
      <c r="F11" s="104">
        <v>81</v>
      </c>
      <c r="G11" s="105">
        <v>89.3</v>
      </c>
      <c r="H11" s="37" t="s">
        <v>53</v>
      </c>
    </row>
    <row r="12" spans="1:8" ht="18.95" customHeight="1" thickTop="1" thickBot="1" x14ac:dyDescent="0.25">
      <c r="A12" s="38" t="s">
        <v>1038</v>
      </c>
      <c r="B12" s="39" t="s">
        <v>1037</v>
      </c>
      <c r="C12" s="40" t="s">
        <v>1039</v>
      </c>
      <c r="D12" s="40">
        <v>300</v>
      </c>
      <c r="E12" s="104">
        <v>101.3</v>
      </c>
      <c r="F12" s="104">
        <v>112</v>
      </c>
      <c r="G12" s="105">
        <v>122.7</v>
      </c>
      <c r="H12" s="37" t="s">
        <v>53</v>
      </c>
    </row>
    <row r="13" spans="1:8" ht="18.95" customHeight="1" thickTop="1" thickBot="1" x14ac:dyDescent="0.25">
      <c r="A13" s="38" t="s">
        <v>1040</v>
      </c>
      <c r="B13" s="39" t="s">
        <v>1041</v>
      </c>
      <c r="C13" s="40" t="s">
        <v>1039</v>
      </c>
      <c r="D13" s="40">
        <v>250</v>
      </c>
      <c r="E13" s="104">
        <v>125.1</v>
      </c>
      <c r="F13" s="104">
        <v>137.1</v>
      </c>
      <c r="G13" s="105">
        <v>151.30000000000001</v>
      </c>
      <c r="H13" s="37" t="s">
        <v>53</v>
      </c>
    </row>
    <row r="14" spans="1:8" ht="18.95" customHeight="1" thickTop="1" thickBot="1" x14ac:dyDescent="0.25">
      <c r="A14" s="38" t="s">
        <v>1042</v>
      </c>
      <c r="B14" s="39" t="s">
        <v>1043</v>
      </c>
      <c r="C14" s="40" t="s">
        <v>1039</v>
      </c>
      <c r="D14" s="40">
        <v>200</v>
      </c>
      <c r="E14" s="104">
        <v>195.3</v>
      </c>
      <c r="F14" s="104">
        <v>214.3</v>
      </c>
      <c r="G14" s="105">
        <v>237.1</v>
      </c>
      <c r="H14" s="37" t="s">
        <v>53</v>
      </c>
    </row>
    <row r="15" spans="1:8" ht="18.95" customHeight="1" thickTop="1" thickBot="1" x14ac:dyDescent="0.25">
      <c r="A15" s="38" t="s">
        <v>1044</v>
      </c>
      <c r="B15" s="39" t="s">
        <v>1045</v>
      </c>
      <c r="C15" s="40" t="s">
        <v>129</v>
      </c>
      <c r="D15" s="40">
        <v>300</v>
      </c>
      <c r="E15" s="104">
        <v>109.7</v>
      </c>
      <c r="F15" s="104">
        <v>121.6</v>
      </c>
      <c r="G15" s="105">
        <v>133.30000000000001</v>
      </c>
      <c r="H15" s="37" t="s">
        <v>50</v>
      </c>
    </row>
    <row r="16" spans="1:8" ht="18.95" customHeight="1" thickTop="1" thickBot="1" x14ac:dyDescent="0.25">
      <c r="A16" s="38" t="s">
        <v>1046</v>
      </c>
      <c r="B16" s="39" t="s">
        <v>1047</v>
      </c>
      <c r="C16" s="40" t="s">
        <v>129</v>
      </c>
      <c r="D16" s="40">
        <v>200</v>
      </c>
      <c r="E16" s="104">
        <v>157.19999999999999</v>
      </c>
      <c r="F16" s="104">
        <v>172.8</v>
      </c>
      <c r="G16" s="105">
        <v>191.8</v>
      </c>
      <c r="H16" s="37" t="s">
        <v>53</v>
      </c>
    </row>
    <row r="17" spans="1:8" ht="18.95" customHeight="1" thickTop="1" thickBot="1" x14ac:dyDescent="0.25">
      <c r="A17" s="38" t="s">
        <v>1048</v>
      </c>
      <c r="B17" s="39" t="s">
        <v>1049</v>
      </c>
      <c r="C17" s="40" t="s">
        <v>1039</v>
      </c>
      <c r="D17" s="40">
        <v>200</v>
      </c>
      <c r="E17" s="104">
        <v>170.4</v>
      </c>
      <c r="F17" s="104">
        <v>187</v>
      </c>
      <c r="G17" s="105">
        <v>206.1</v>
      </c>
      <c r="H17" s="37" t="s">
        <v>53</v>
      </c>
    </row>
    <row r="18" spans="1:8" ht="18.95" customHeight="1" thickTop="1" thickBot="1" x14ac:dyDescent="0.25">
      <c r="A18" s="38" t="s">
        <v>1050</v>
      </c>
      <c r="B18" s="39" t="s">
        <v>1051</v>
      </c>
      <c r="C18" s="40" t="s">
        <v>129</v>
      </c>
      <c r="D18" s="40">
        <v>280</v>
      </c>
      <c r="E18" s="104">
        <v>145.19999999999999</v>
      </c>
      <c r="F18" s="104">
        <v>159.5</v>
      </c>
      <c r="G18" s="105">
        <v>177.4</v>
      </c>
      <c r="H18" s="37" t="s">
        <v>53</v>
      </c>
    </row>
    <row r="19" spans="1:8" ht="18.95" customHeight="1" thickTop="1" thickBot="1" x14ac:dyDescent="0.25">
      <c r="A19" s="38" t="s">
        <v>1052</v>
      </c>
      <c r="B19" s="39" t="s">
        <v>1051</v>
      </c>
      <c r="C19" s="40" t="s">
        <v>1039</v>
      </c>
      <c r="D19" s="40">
        <v>200</v>
      </c>
      <c r="E19" s="104">
        <v>202.4</v>
      </c>
      <c r="F19" s="104">
        <v>222.8</v>
      </c>
      <c r="G19" s="105">
        <v>246.4</v>
      </c>
      <c r="H19" s="37" t="s">
        <v>53</v>
      </c>
    </row>
    <row r="20" spans="1:8" ht="18.95" customHeight="1" thickTop="1" thickBot="1" x14ac:dyDescent="0.25">
      <c r="A20" s="38" t="s">
        <v>1053</v>
      </c>
      <c r="B20" s="39" t="s">
        <v>1054</v>
      </c>
      <c r="C20" s="40" t="s">
        <v>129</v>
      </c>
      <c r="D20" s="40">
        <v>180</v>
      </c>
      <c r="E20" s="104">
        <v>240.6</v>
      </c>
      <c r="F20" s="104">
        <v>265.5</v>
      </c>
      <c r="G20" s="105">
        <v>293</v>
      </c>
      <c r="H20" s="37" t="s">
        <v>53</v>
      </c>
    </row>
    <row r="21" spans="1:8" ht="18.95" customHeight="1" thickTop="1" thickBot="1" x14ac:dyDescent="0.25">
      <c r="A21" s="38" t="s">
        <v>1055</v>
      </c>
      <c r="B21" s="39" t="s">
        <v>1056</v>
      </c>
      <c r="C21" s="40" t="s">
        <v>129</v>
      </c>
      <c r="D21" s="40">
        <v>120</v>
      </c>
      <c r="E21" s="104">
        <v>278.8</v>
      </c>
      <c r="F21" s="104">
        <v>307.3</v>
      </c>
      <c r="G21" s="105">
        <v>340.6</v>
      </c>
      <c r="H21" s="37" t="s">
        <v>53</v>
      </c>
    </row>
    <row r="22" spans="1:8" ht="18.95" customHeight="1" thickTop="1" thickBot="1" x14ac:dyDescent="0.25">
      <c r="A22" s="38" t="s">
        <v>1057</v>
      </c>
      <c r="B22" s="39" t="s">
        <v>1058</v>
      </c>
      <c r="C22" s="40" t="s">
        <v>129</v>
      </c>
      <c r="D22" s="40">
        <v>150</v>
      </c>
      <c r="E22" s="104">
        <v>302.5</v>
      </c>
      <c r="F22" s="104">
        <v>332.3</v>
      </c>
      <c r="G22" s="105">
        <v>368</v>
      </c>
      <c r="H22" s="37" t="s">
        <v>53</v>
      </c>
    </row>
    <row r="23" spans="1:8" ht="18.95" customHeight="1" thickTop="1" thickBot="1" x14ac:dyDescent="0.25">
      <c r="A23" s="38" t="s">
        <v>1059</v>
      </c>
      <c r="B23" s="39" t="s">
        <v>1060</v>
      </c>
      <c r="C23" s="40" t="s">
        <v>1039</v>
      </c>
      <c r="D23" s="40">
        <v>100</v>
      </c>
      <c r="E23" s="104">
        <v>488.3</v>
      </c>
      <c r="F23" s="104">
        <v>535.9</v>
      </c>
      <c r="G23" s="105">
        <v>593.1</v>
      </c>
      <c r="H23" s="37" t="s">
        <v>53</v>
      </c>
    </row>
    <row r="24" spans="1:8" ht="18.95" customHeight="1" thickTop="1" thickBot="1" x14ac:dyDescent="0.25">
      <c r="A24" s="38" t="s">
        <v>1061</v>
      </c>
      <c r="B24" s="39" t="s">
        <v>1062</v>
      </c>
      <c r="C24" s="40" t="s">
        <v>1039</v>
      </c>
      <c r="D24" s="40">
        <v>120</v>
      </c>
      <c r="E24" s="104">
        <v>425.2</v>
      </c>
      <c r="F24" s="104">
        <v>468.1</v>
      </c>
      <c r="G24" s="105">
        <v>516.9</v>
      </c>
      <c r="H24" s="37" t="s">
        <v>53</v>
      </c>
    </row>
    <row r="25" spans="1:8" ht="18.95" customHeight="1" thickTop="1" thickBot="1" x14ac:dyDescent="0.25">
      <c r="A25" s="38" t="s">
        <v>1063</v>
      </c>
      <c r="B25" s="39" t="s">
        <v>1064</v>
      </c>
      <c r="C25" s="40" t="s">
        <v>1039</v>
      </c>
      <c r="D25" s="40">
        <v>100</v>
      </c>
      <c r="E25" s="104">
        <v>565.79999999999995</v>
      </c>
      <c r="F25" s="104">
        <v>621.6</v>
      </c>
      <c r="G25" s="105">
        <v>687.2</v>
      </c>
      <c r="H25" s="37" t="s">
        <v>53</v>
      </c>
    </row>
    <row r="26" spans="1:8" ht="18.95" customHeight="1" thickTop="1" thickBot="1" x14ac:dyDescent="0.25">
      <c r="A26" s="38" t="s">
        <v>1065</v>
      </c>
      <c r="B26" s="39" t="s">
        <v>1066</v>
      </c>
      <c r="C26" s="40" t="s">
        <v>1039</v>
      </c>
      <c r="D26" s="40">
        <v>50</v>
      </c>
      <c r="E26" s="104">
        <v>896.8</v>
      </c>
      <c r="F26" s="104">
        <v>986.1</v>
      </c>
      <c r="G26" s="105">
        <v>1089.7</v>
      </c>
      <c r="H26" s="37" t="s">
        <v>53</v>
      </c>
    </row>
    <row r="27" spans="1:8" ht="18.95" customHeight="1" thickTop="1" thickBot="1" x14ac:dyDescent="0.25">
      <c r="A27" s="38" t="s">
        <v>1067</v>
      </c>
      <c r="B27" s="39" t="s">
        <v>1068</v>
      </c>
      <c r="C27" s="40" t="s">
        <v>129</v>
      </c>
      <c r="D27" s="40">
        <v>150</v>
      </c>
      <c r="E27" s="104">
        <v>316.8</v>
      </c>
      <c r="F27" s="104">
        <v>347.9</v>
      </c>
      <c r="G27" s="105">
        <v>384.8</v>
      </c>
      <c r="H27" s="37" t="s">
        <v>53</v>
      </c>
    </row>
    <row r="28" spans="1:8" ht="18.95" customHeight="1" thickTop="1" thickBot="1" x14ac:dyDescent="0.25">
      <c r="A28" s="38" t="s">
        <v>1069</v>
      </c>
      <c r="B28" s="39" t="s">
        <v>1070</v>
      </c>
      <c r="C28" s="40" t="s">
        <v>129</v>
      </c>
      <c r="D28" s="40">
        <v>150</v>
      </c>
      <c r="E28" s="104">
        <v>364.3</v>
      </c>
      <c r="F28" s="104">
        <v>400</v>
      </c>
      <c r="G28" s="105">
        <v>441.9</v>
      </c>
      <c r="H28" s="37" t="s">
        <v>53</v>
      </c>
    </row>
    <row r="29" spans="1:8" ht="16.5" customHeight="1" thickTop="1" thickBot="1" x14ac:dyDescent="0.25">
      <c r="A29" s="38" t="s">
        <v>1071</v>
      </c>
      <c r="B29" s="39" t="s">
        <v>1072</v>
      </c>
      <c r="C29" s="40" t="s">
        <v>129</v>
      </c>
      <c r="D29" s="40">
        <v>60</v>
      </c>
      <c r="E29" s="104">
        <v>667</v>
      </c>
      <c r="F29" s="104">
        <v>733.5</v>
      </c>
      <c r="G29" s="105">
        <v>811</v>
      </c>
      <c r="H29" s="37" t="s">
        <v>53</v>
      </c>
    </row>
    <row r="30" spans="1:8" ht="18.95" customHeight="1" thickTop="1" thickBot="1" x14ac:dyDescent="0.25">
      <c r="A30" s="38" t="s">
        <v>1073</v>
      </c>
      <c r="B30" s="39" t="s">
        <v>1074</v>
      </c>
      <c r="C30" s="40" t="s">
        <v>1039</v>
      </c>
      <c r="D30" s="40">
        <v>90</v>
      </c>
      <c r="E30" s="104">
        <v>527.5</v>
      </c>
      <c r="F30" s="104">
        <v>579.9</v>
      </c>
      <c r="G30" s="105">
        <v>640.6</v>
      </c>
      <c r="H30" s="37" t="s">
        <v>53</v>
      </c>
    </row>
    <row r="31" spans="1:8" ht="18.95" customHeight="1" thickTop="1" thickBot="1" x14ac:dyDescent="0.25">
      <c r="A31" s="38" t="s">
        <v>1075</v>
      </c>
      <c r="B31" s="39" t="s">
        <v>1076</v>
      </c>
      <c r="C31" s="40" t="s">
        <v>1039</v>
      </c>
      <c r="D31" s="40">
        <v>75</v>
      </c>
      <c r="E31" s="104">
        <v>702.6</v>
      </c>
      <c r="F31" s="104">
        <v>771.8</v>
      </c>
      <c r="G31" s="105">
        <v>852.6</v>
      </c>
      <c r="H31" s="37" t="s">
        <v>53</v>
      </c>
    </row>
    <row r="32" spans="1:8" ht="18.95" customHeight="1" thickTop="1" thickBot="1" x14ac:dyDescent="0.25">
      <c r="A32" s="38" t="s">
        <v>1077</v>
      </c>
      <c r="B32" s="39" t="s">
        <v>1078</v>
      </c>
      <c r="C32" s="40" t="s">
        <v>1039</v>
      </c>
      <c r="D32" s="40">
        <v>40</v>
      </c>
      <c r="E32" s="104">
        <v>1112.4000000000001</v>
      </c>
      <c r="F32" s="104">
        <v>1224.3</v>
      </c>
      <c r="G32" s="105">
        <v>1352.8</v>
      </c>
      <c r="H32" s="37" t="s">
        <v>53</v>
      </c>
    </row>
    <row r="33" spans="1:8" ht="18.95" customHeight="1" thickTop="1" thickBot="1" x14ac:dyDescent="0.25">
      <c r="A33" s="38" t="s">
        <v>1079</v>
      </c>
      <c r="B33" s="39" t="s">
        <v>1080</v>
      </c>
      <c r="C33" s="40" t="s">
        <v>129</v>
      </c>
      <c r="D33" s="40">
        <v>100</v>
      </c>
      <c r="E33" s="104">
        <v>389.4</v>
      </c>
      <c r="F33" s="104">
        <v>428.7</v>
      </c>
      <c r="G33" s="105">
        <v>473.9</v>
      </c>
      <c r="H33" s="37" t="s">
        <v>53</v>
      </c>
    </row>
    <row r="34" spans="1:8" ht="18.95" customHeight="1" thickTop="1" thickBot="1" x14ac:dyDescent="0.25">
      <c r="A34" s="38" t="s">
        <v>1081</v>
      </c>
      <c r="B34" s="39" t="s">
        <v>1082</v>
      </c>
      <c r="C34" s="40" t="s">
        <v>129</v>
      </c>
      <c r="D34" s="40">
        <v>80</v>
      </c>
      <c r="E34" s="104">
        <v>516.9</v>
      </c>
      <c r="F34" s="104">
        <v>569.29999999999995</v>
      </c>
      <c r="G34" s="105">
        <v>628.79999999999995</v>
      </c>
      <c r="H34" s="37" t="s">
        <v>50</v>
      </c>
    </row>
    <row r="35" spans="1:8" ht="16.5" customHeight="1" thickTop="1" thickBot="1" x14ac:dyDescent="0.25">
      <c r="A35" s="38" t="s">
        <v>1083</v>
      </c>
      <c r="B35" s="39" t="s">
        <v>1084</v>
      </c>
      <c r="C35" s="40" t="s">
        <v>129</v>
      </c>
      <c r="D35" s="40">
        <v>60</v>
      </c>
      <c r="E35" s="104">
        <v>928.9</v>
      </c>
      <c r="F35" s="104">
        <v>1021.9</v>
      </c>
      <c r="G35" s="105">
        <v>1128.9000000000001</v>
      </c>
      <c r="H35" s="37" t="s">
        <v>53</v>
      </c>
    </row>
    <row r="36" spans="1:8" ht="18.95" customHeight="1" thickTop="1" thickBot="1" x14ac:dyDescent="0.25">
      <c r="A36" s="38" t="s">
        <v>1085</v>
      </c>
      <c r="B36" s="39" t="s">
        <v>1086</v>
      </c>
      <c r="C36" s="40" t="s">
        <v>129</v>
      </c>
      <c r="D36" s="40">
        <v>25</v>
      </c>
      <c r="E36" s="104">
        <v>1645.8</v>
      </c>
      <c r="F36" s="104">
        <v>1810.1</v>
      </c>
      <c r="G36" s="105">
        <v>2000.8</v>
      </c>
      <c r="H36" s="37" t="s">
        <v>53</v>
      </c>
    </row>
    <row r="37" spans="1:8" ht="18.95" customHeight="1" thickTop="1" thickBot="1" x14ac:dyDescent="0.25">
      <c r="A37" s="38" t="s">
        <v>1087</v>
      </c>
      <c r="B37" s="39" t="s">
        <v>1088</v>
      </c>
      <c r="C37" s="40" t="s">
        <v>1039</v>
      </c>
      <c r="D37" s="40">
        <v>30</v>
      </c>
      <c r="E37" s="104">
        <v>1133.8</v>
      </c>
      <c r="F37" s="104">
        <v>1244.5999999999999</v>
      </c>
      <c r="G37" s="105">
        <v>1375.6</v>
      </c>
      <c r="H37" s="37" t="s">
        <v>53</v>
      </c>
    </row>
    <row r="38" spans="1:8" ht="18.95" customHeight="1" thickTop="1" thickBot="1" x14ac:dyDescent="0.25">
      <c r="A38" s="221" t="s">
        <v>1089</v>
      </c>
      <c r="B38" s="222">
        <v>0</v>
      </c>
      <c r="C38" s="222">
        <v>0</v>
      </c>
      <c r="D38" s="222">
        <v>0</v>
      </c>
      <c r="E38" s="222">
        <v>0</v>
      </c>
      <c r="F38" s="222">
        <v>0</v>
      </c>
      <c r="G38" s="223">
        <v>0</v>
      </c>
      <c r="H38" s="37" t="s">
        <v>44</v>
      </c>
    </row>
    <row r="39" spans="1:8" ht="18.95" customHeight="1" thickTop="1" thickBot="1" x14ac:dyDescent="0.25">
      <c r="A39" s="38" t="s">
        <v>1090</v>
      </c>
      <c r="B39" s="39" t="s">
        <v>1091</v>
      </c>
      <c r="C39" s="40" t="s">
        <v>129</v>
      </c>
      <c r="D39" s="40">
        <v>100</v>
      </c>
      <c r="E39" s="104">
        <v>72.7</v>
      </c>
      <c r="F39" s="104">
        <v>81</v>
      </c>
      <c r="G39" s="105">
        <v>89.3</v>
      </c>
      <c r="H39" s="37" t="s">
        <v>53</v>
      </c>
    </row>
    <row r="40" spans="1:8" ht="20.25" customHeight="1" thickTop="1" thickBot="1" x14ac:dyDescent="0.25">
      <c r="A40" s="38" t="s">
        <v>1092</v>
      </c>
      <c r="B40" s="39" t="s">
        <v>1091</v>
      </c>
      <c r="C40" s="40" t="s">
        <v>1039</v>
      </c>
      <c r="D40" s="40">
        <v>300</v>
      </c>
      <c r="E40" s="104">
        <v>101.3</v>
      </c>
      <c r="F40" s="104">
        <v>112</v>
      </c>
      <c r="G40" s="105">
        <v>122.7</v>
      </c>
      <c r="H40" s="37" t="s">
        <v>53</v>
      </c>
    </row>
    <row r="41" spans="1:8" ht="18.95" customHeight="1" thickTop="1" thickBot="1" x14ac:dyDescent="0.25">
      <c r="A41" s="38" t="s">
        <v>1093</v>
      </c>
      <c r="B41" s="39" t="s">
        <v>1094</v>
      </c>
      <c r="C41" s="40" t="s">
        <v>1039</v>
      </c>
      <c r="D41" s="40">
        <v>0</v>
      </c>
      <c r="E41" s="104">
        <v>125.1</v>
      </c>
      <c r="F41" s="104">
        <v>137.1</v>
      </c>
      <c r="G41" s="105">
        <v>151.30000000000001</v>
      </c>
      <c r="H41" s="37" t="s">
        <v>44</v>
      </c>
    </row>
    <row r="42" spans="1:8" ht="18.95" customHeight="1" thickTop="1" thickBot="1" x14ac:dyDescent="0.25">
      <c r="A42" s="38" t="s">
        <v>1095</v>
      </c>
      <c r="B42" s="39" t="s">
        <v>1096</v>
      </c>
      <c r="C42" s="40" t="s">
        <v>1039</v>
      </c>
      <c r="D42" s="40">
        <v>200</v>
      </c>
      <c r="E42" s="104">
        <v>195.3</v>
      </c>
      <c r="F42" s="104">
        <v>214.3</v>
      </c>
      <c r="G42" s="105">
        <v>237.1</v>
      </c>
      <c r="H42" s="37" t="s">
        <v>53</v>
      </c>
    </row>
    <row r="43" spans="1:8" ht="18.95" customHeight="1" thickTop="1" thickBot="1" x14ac:dyDescent="0.25">
      <c r="A43" s="38" t="s">
        <v>1097</v>
      </c>
      <c r="B43" s="39" t="s">
        <v>1098</v>
      </c>
      <c r="C43" s="40" t="s">
        <v>1039</v>
      </c>
      <c r="D43" s="40">
        <v>200</v>
      </c>
      <c r="E43" s="104">
        <v>170.4</v>
      </c>
      <c r="F43" s="104">
        <v>187</v>
      </c>
      <c r="G43" s="105">
        <v>206.1</v>
      </c>
      <c r="H43" s="37" t="s">
        <v>53</v>
      </c>
    </row>
    <row r="44" spans="1:8" ht="16.5" customHeight="1" thickTop="1" thickBot="1" x14ac:dyDescent="0.25">
      <c r="A44" s="38" t="s">
        <v>1099</v>
      </c>
      <c r="B44" s="39" t="s">
        <v>1100</v>
      </c>
      <c r="C44" s="40" t="s">
        <v>1039</v>
      </c>
      <c r="D44" s="40">
        <v>200</v>
      </c>
      <c r="E44" s="104">
        <v>202.4</v>
      </c>
      <c r="F44" s="104">
        <v>222.8</v>
      </c>
      <c r="G44" s="105">
        <v>246.4</v>
      </c>
      <c r="H44" s="37" t="s">
        <v>53</v>
      </c>
    </row>
    <row r="45" spans="1:8" ht="18.95" customHeight="1" thickTop="1" thickBot="1" x14ac:dyDescent="0.25">
      <c r="A45" s="38" t="s">
        <v>1101</v>
      </c>
      <c r="B45" s="39" t="s">
        <v>1100</v>
      </c>
      <c r="C45" s="40" t="s">
        <v>129</v>
      </c>
      <c r="D45" s="40">
        <v>100</v>
      </c>
      <c r="E45" s="104">
        <v>145.19999999999999</v>
      </c>
      <c r="F45" s="104">
        <v>159.5</v>
      </c>
      <c r="G45" s="105">
        <v>177.4</v>
      </c>
      <c r="H45" s="37" t="s">
        <v>53</v>
      </c>
    </row>
    <row r="46" spans="1:8" ht="18.95" customHeight="1" thickTop="1" thickBot="1" x14ac:dyDescent="0.25">
      <c r="A46" s="38" t="s">
        <v>1102</v>
      </c>
      <c r="B46" s="39" t="s">
        <v>1103</v>
      </c>
      <c r="C46" s="40" t="s">
        <v>129</v>
      </c>
      <c r="D46" s="40">
        <v>170</v>
      </c>
      <c r="E46" s="104">
        <v>240.6</v>
      </c>
      <c r="F46" s="104">
        <v>265.5</v>
      </c>
      <c r="G46" s="105">
        <v>293</v>
      </c>
      <c r="H46" s="37" t="s">
        <v>53</v>
      </c>
    </row>
    <row r="47" spans="1:8" ht="14.25" thickTop="1" thickBot="1" x14ac:dyDescent="0.25">
      <c r="A47" s="38" t="s">
        <v>1104</v>
      </c>
      <c r="B47" s="39" t="s">
        <v>1105</v>
      </c>
      <c r="C47" s="40" t="s">
        <v>129</v>
      </c>
      <c r="D47" s="40">
        <v>130</v>
      </c>
      <c r="E47" s="104">
        <v>278.8</v>
      </c>
      <c r="F47" s="104">
        <v>307.3</v>
      </c>
      <c r="G47" s="105">
        <v>340.6</v>
      </c>
      <c r="H47" s="37" t="s">
        <v>53</v>
      </c>
    </row>
    <row r="48" spans="1:8" ht="14.25" thickTop="1" thickBot="1" x14ac:dyDescent="0.25">
      <c r="A48" s="38" t="s">
        <v>1106</v>
      </c>
      <c r="B48" s="39" t="s">
        <v>1107</v>
      </c>
      <c r="C48" s="40" t="s">
        <v>129</v>
      </c>
      <c r="D48" s="40">
        <v>150</v>
      </c>
      <c r="E48" s="104">
        <v>302.5</v>
      </c>
      <c r="F48" s="104">
        <v>332.3</v>
      </c>
      <c r="G48" s="105">
        <v>368</v>
      </c>
      <c r="H48" s="37" t="s">
        <v>53</v>
      </c>
    </row>
    <row r="49" spans="1:8" ht="14.25" thickTop="1" thickBot="1" x14ac:dyDescent="0.25">
      <c r="A49" s="38" t="s">
        <v>1108</v>
      </c>
      <c r="B49" s="39" t="s">
        <v>1109</v>
      </c>
      <c r="C49" s="40" t="s">
        <v>1039</v>
      </c>
      <c r="D49" s="40">
        <v>100</v>
      </c>
      <c r="E49" s="104">
        <v>488.3</v>
      </c>
      <c r="F49" s="104">
        <v>535.9</v>
      </c>
      <c r="G49" s="105">
        <v>593.1</v>
      </c>
      <c r="H49" s="37" t="s">
        <v>53</v>
      </c>
    </row>
    <row r="50" spans="1:8" ht="14.25" thickTop="1" thickBot="1" x14ac:dyDescent="0.25">
      <c r="A50" s="38" t="s">
        <v>1110</v>
      </c>
      <c r="B50" s="39" t="s">
        <v>1111</v>
      </c>
      <c r="C50" s="40" t="s">
        <v>129</v>
      </c>
      <c r="D50" s="40">
        <v>100</v>
      </c>
      <c r="E50" s="104">
        <v>390.6</v>
      </c>
      <c r="F50" s="104">
        <v>431.1</v>
      </c>
      <c r="G50" s="105">
        <v>476.4</v>
      </c>
      <c r="H50" s="37" t="s">
        <v>53</v>
      </c>
    </row>
    <row r="51" spans="1:8" ht="14.25" thickTop="1" thickBot="1" x14ac:dyDescent="0.25">
      <c r="A51" s="38" t="s">
        <v>1112</v>
      </c>
      <c r="B51" s="39" t="s">
        <v>1113</v>
      </c>
      <c r="C51" s="40" t="s">
        <v>1039</v>
      </c>
      <c r="D51" s="40">
        <v>120</v>
      </c>
      <c r="E51" s="104">
        <v>425.2</v>
      </c>
      <c r="F51" s="104">
        <v>468.1</v>
      </c>
      <c r="G51" s="105">
        <v>516.9</v>
      </c>
      <c r="H51" s="37" t="s">
        <v>53</v>
      </c>
    </row>
    <row r="52" spans="1:8" ht="14.25" thickTop="1" thickBot="1" x14ac:dyDescent="0.25">
      <c r="A52" s="38" t="s">
        <v>1114</v>
      </c>
      <c r="B52" s="39" t="s">
        <v>1115</v>
      </c>
      <c r="C52" s="40" t="s">
        <v>1039</v>
      </c>
      <c r="D52" s="40">
        <v>100</v>
      </c>
      <c r="E52" s="104">
        <v>565.79999999999995</v>
      </c>
      <c r="F52" s="104">
        <v>621.6</v>
      </c>
      <c r="G52" s="105">
        <v>687.2</v>
      </c>
      <c r="H52" s="37" t="s">
        <v>53</v>
      </c>
    </row>
    <row r="53" spans="1:8" ht="14.25" thickTop="1" thickBot="1" x14ac:dyDescent="0.25">
      <c r="A53" s="38" t="s">
        <v>1116</v>
      </c>
      <c r="B53" s="39" t="s">
        <v>1117</v>
      </c>
      <c r="C53" s="40" t="s">
        <v>1039</v>
      </c>
      <c r="D53" s="40">
        <v>0</v>
      </c>
      <c r="E53" s="104">
        <v>896.8</v>
      </c>
      <c r="F53" s="104">
        <v>986.1</v>
      </c>
      <c r="G53" s="105">
        <v>1089.7</v>
      </c>
      <c r="H53" s="37" t="s">
        <v>44</v>
      </c>
    </row>
    <row r="54" spans="1:8" ht="14.25" thickTop="1" thickBot="1" x14ac:dyDescent="0.25">
      <c r="A54" s="38" t="s">
        <v>1118</v>
      </c>
      <c r="B54" s="39" t="s">
        <v>1119</v>
      </c>
      <c r="C54" s="40" t="s">
        <v>129</v>
      </c>
      <c r="D54" s="40">
        <v>125</v>
      </c>
      <c r="E54" s="104">
        <v>316.8</v>
      </c>
      <c r="F54" s="104">
        <v>347.9</v>
      </c>
      <c r="G54" s="105">
        <v>384.8</v>
      </c>
      <c r="H54" s="37" t="s">
        <v>53</v>
      </c>
    </row>
    <row r="55" spans="1:8" ht="14.25" thickTop="1" thickBot="1" x14ac:dyDescent="0.25">
      <c r="A55" s="38" t="s">
        <v>1120</v>
      </c>
      <c r="B55" s="39" t="s">
        <v>1121</v>
      </c>
      <c r="C55" s="40" t="s">
        <v>1039</v>
      </c>
      <c r="D55" s="40">
        <v>90</v>
      </c>
      <c r="E55" s="104">
        <v>527.5</v>
      </c>
      <c r="F55" s="104">
        <v>579.9</v>
      </c>
      <c r="G55" s="105">
        <v>640.6</v>
      </c>
      <c r="H55" s="37" t="s">
        <v>53</v>
      </c>
    </row>
    <row r="56" spans="1:8" ht="14.25" thickTop="1" thickBot="1" x14ac:dyDescent="0.25">
      <c r="A56" s="38" t="s">
        <v>1122</v>
      </c>
      <c r="B56" s="39" t="s">
        <v>1123</v>
      </c>
      <c r="C56" s="40" t="s">
        <v>1039</v>
      </c>
      <c r="D56" s="40">
        <v>75</v>
      </c>
      <c r="E56" s="104">
        <v>702.6</v>
      </c>
      <c r="F56" s="104">
        <v>771.8</v>
      </c>
      <c r="G56" s="105">
        <v>852.6</v>
      </c>
      <c r="H56" s="37" t="s">
        <v>53</v>
      </c>
    </row>
    <row r="57" spans="1:8" ht="14.25" thickTop="1" thickBot="1" x14ac:dyDescent="0.25">
      <c r="A57" s="38" t="s">
        <v>1124</v>
      </c>
      <c r="B57" s="39" t="s">
        <v>1125</v>
      </c>
      <c r="C57" s="40" t="s">
        <v>1039</v>
      </c>
      <c r="D57" s="40">
        <v>40</v>
      </c>
      <c r="E57" s="104">
        <v>1112.4000000000001</v>
      </c>
      <c r="F57" s="104">
        <v>1224.3</v>
      </c>
      <c r="G57" s="105">
        <v>1352.8</v>
      </c>
      <c r="H57" s="37" t="s">
        <v>53</v>
      </c>
    </row>
    <row r="58" spans="1:8" ht="14.25" thickTop="1" thickBot="1" x14ac:dyDescent="0.25">
      <c r="A58" s="38" t="s">
        <v>1126</v>
      </c>
      <c r="B58" s="39" t="s">
        <v>1127</v>
      </c>
      <c r="C58" s="40" t="s">
        <v>129</v>
      </c>
      <c r="D58" s="40">
        <v>120</v>
      </c>
      <c r="E58" s="104">
        <v>389.4</v>
      </c>
      <c r="F58" s="104">
        <v>428.7</v>
      </c>
      <c r="G58" s="105">
        <v>473.9</v>
      </c>
      <c r="H58" s="37" t="s">
        <v>53</v>
      </c>
    </row>
    <row r="59" spans="1:8" ht="14.25" thickTop="1" thickBot="1" x14ac:dyDescent="0.25">
      <c r="A59" s="38" t="s">
        <v>1128</v>
      </c>
      <c r="B59" s="39" t="s">
        <v>1129</v>
      </c>
      <c r="C59" s="40" t="s">
        <v>129</v>
      </c>
      <c r="D59" s="40">
        <v>1</v>
      </c>
      <c r="E59" s="104">
        <v>516.9</v>
      </c>
      <c r="F59" s="104">
        <v>569.29999999999995</v>
      </c>
      <c r="G59" s="105">
        <v>628.79999999999995</v>
      </c>
      <c r="H59" s="37" t="s">
        <v>53</v>
      </c>
    </row>
    <row r="60" spans="1:8" ht="14.25" thickTop="1" thickBot="1" x14ac:dyDescent="0.25">
      <c r="A60" s="38" t="s">
        <v>1130</v>
      </c>
      <c r="B60" s="39" t="s">
        <v>1131</v>
      </c>
      <c r="C60" s="40" t="s">
        <v>1039</v>
      </c>
      <c r="D60" s="40">
        <v>30</v>
      </c>
      <c r="E60" s="104">
        <v>1133.8</v>
      </c>
      <c r="F60" s="104">
        <v>1244.5999999999999</v>
      </c>
      <c r="G60" s="105">
        <v>1375.6</v>
      </c>
      <c r="H60" s="37" t="s">
        <v>53</v>
      </c>
    </row>
    <row r="61" spans="1:8" ht="14.25" thickTop="1" thickBot="1" x14ac:dyDescent="0.25">
      <c r="A61" s="221" t="s">
        <v>1132</v>
      </c>
      <c r="B61" s="222">
        <v>0</v>
      </c>
      <c r="C61" s="222">
        <v>0</v>
      </c>
      <c r="D61" s="222">
        <v>0</v>
      </c>
      <c r="E61" s="222">
        <v>0</v>
      </c>
      <c r="F61" s="222">
        <v>0</v>
      </c>
      <c r="G61" s="223">
        <v>0</v>
      </c>
      <c r="H61" s="37" t="s">
        <v>44</v>
      </c>
    </row>
    <row r="62" spans="1:8" ht="14.25" thickTop="1" thickBot="1" x14ac:dyDescent="0.25">
      <c r="A62" s="38" t="s">
        <v>1133</v>
      </c>
      <c r="B62" s="39" t="s">
        <v>1134</v>
      </c>
      <c r="C62" s="40" t="s">
        <v>1039</v>
      </c>
      <c r="D62" s="40">
        <v>50</v>
      </c>
      <c r="E62" s="104">
        <v>387.2</v>
      </c>
      <c r="F62" s="104">
        <v>425.7</v>
      </c>
      <c r="G62" s="105">
        <v>470.3</v>
      </c>
      <c r="H62" s="37" t="s">
        <v>53</v>
      </c>
    </row>
    <row r="63" spans="1:8" ht="14.25" thickTop="1" thickBot="1" x14ac:dyDescent="0.25">
      <c r="A63" s="221" t="s">
        <v>1135</v>
      </c>
      <c r="B63" s="222">
        <v>0</v>
      </c>
      <c r="C63" s="222">
        <v>0</v>
      </c>
      <c r="D63" s="222">
        <v>0</v>
      </c>
      <c r="E63" s="222">
        <v>0</v>
      </c>
      <c r="F63" s="222">
        <v>0</v>
      </c>
      <c r="G63" s="223">
        <v>0</v>
      </c>
      <c r="H63" s="37" t="s">
        <v>44</v>
      </c>
    </row>
    <row r="64" spans="1:8" ht="14.25" thickTop="1" thickBot="1" x14ac:dyDescent="0.25">
      <c r="A64" s="106" t="s">
        <v>1136</v>
      </c>
      <c r="B64" s="107" t="s">
        <v>1037</v>
      </c>
      <c r="C64" s="108" t="s">
        <v>129</v>
      </c>
      <c r="D64" s="108">
        <v>100</v>
      </c>
      <c r="E64" s="109">
        <v>151.30000000000001</v>
      </c>
      <c r="F64" s="109">
        <v>166.6</v>
      </c>
      <c r="G64" s="110">
        <v>184.7</v>
      </c>
      <c r="H64" s="37" t="s">
        <v>53</v>
      </c>
    </row>
    <row r="65" spans="1:8" ht="14.25" thickTop="1" thickBot="1" x14ac:dyDescent="0.25">
      <c r="A65" s="106" t="s">
        <v>1137</v>
      </c>
      <c r="B65" s="107" t="s">
        <v>1091</v>
      </c>
      <c r="C65" s="108" t="s">
        <v>129</v>
      </c>
      <c r="D65" s="108">
        <v>320</v>
      </c>
      <c r="E65" s="109">
        <v>151.30000000000001</v>
      </c>
      <c r="F65" s="109">
        <v>166.6</v>
      </c>
      <c r="G65" s="110">
        <v>184.7</v>
      </c>
      <c r="H65" s="37" t="s">
        <v>53</v>
      </c>
    </row>
    <row r="66" spans="1:8" ht="14.25" thickTop="1" thickBot="1" x14ac:dyDescent="0.25">
      <c r="A66" s="38" t="s">
        <v>1138</v>
      </c>
      <c r="B66" s="39" t="s">
        <v>1047</v>
      </c>
      <c r="C66" s="40" t="s">
        <v>129</v>
      </c>
      <c r="D66" s="40">
        <v>100</v>
      </c>
      <c r="E66" s="41">
        <v>310.5</v>
      </c>
      <c r="F66" s="41">
        <v>341.8</v>
      </c>
      <c r="G66" s="42">
        <v>379</v>
      </c>
      <c r="H66" s="37" t="s">
        <v>53</v>
      </c>
    </row>
    <row r="67" spans="1:8" ht="14.25" thickTop="1" thickBot="1" x14ac:dyDescent="0.25">
      <c r="A67" s="38" t="s">
        <v>1139</v>
      </c>
      <c r="B67" s="39" t="s">
        <v>1140</v>
      </c>
      <c r="C67" s="40" t="s">
        <v>129</v>
      </c>
      <c r="D67" s="40">
        <v>240</v>
      </c>
      <c r="E67" s="41">
        <v>330.7</v>
      </c>
      <c r="F67" s="41">
        <v>363.9</v>
      </c>
      <c r="G67" s="42">
        <v>404.6</v>
      </c>
      <c r="H67" s="37" t="s">
        <v>53</v>
      </c>
    </row>
    <row r="68" spans="1:8" ht="14.25" thickTop="1" thickBot="1" x14ac:dyDescent="0.25">
      <c r="A68" s="38" t="s">
        <v>1141</v>
      </c>
      <c r="B68" s="39" t="s">
        <v>1142</v>
      </c>
      <c r="C68" s="40" t="s">
        <v>129</v>
      </c>
      <c r="D68" s="40">
        <v>180</v>
      </c>
      <c r="E68" s="41">
        <v>330.7</v>
      </c>
      <c r="F68" s="41">
        <v>363.9</v>
      </c>
      <c r="G68" s="42">
        <v>404.6</v>
      </c>
      <c r="H68" s="37" t="s">
        <v>53</v>
      </c>
    </row>
    <row r="69" spans="1:8" ht="14.25" thickTop="1" thickBot="1" x14ac:dyDescent="0.25">
      <c r="A69" s="38" t="s">
        <v>1143</v>
      </c>
      <c r="B69" s="39" t="s">
        <v>1056</v>
      </c>
      <c r="C69" s="40" t="s">
        <v>129</v>
      </c>
      <c r="D69" s="40">
        <v>100</v>
      </c>
      <c r="E69" s="41">
        <v>369.5</v>
      </c>
      <c r="F69" s="41">
        <v>406.7</v>
      </c>
      <c r="G69" s="42">
        <v>449.7</v>
      </c>
      <c r="H69" s="37" t="s">
        <v>53</v>
      </c>
    </row>
    <row r="70" spans="1:8" ht="14.25" thickTop="1" thickBot="1" x14ac:dyDescent="0.25">
      <c r="A70" s="221" t="s">
        <v>1144</v>
      </c>
      <c r="B70" s="222">
        <v>0</v>
      </c>
      <c r="C70" s="222">
        <v>0</v>
      </c>
      <c r="D70" s="222">
        <v>0</v>
      </c>
      <c r="E70" s="222">
        <v>0</v>
      </c>
      <c r="F70" s="222">
        <v>0</v>
      </c>
      <c r="G70" s="223">
        <v>0</v>
      </c>
      <c r="H70" s="37" t="s">
        <v>44</v>
      </c>
    </row>
    <row r="71" spans="1:8" ht="14.25" thickTop="1" thickBot="1" x14ac:dyDescent="0.25">
      <c r="A71" s="38" t="s">
        <v>1145</v>
      </c>
      <c r="B71" s="39" t="s">
        <v>1146</v>
      </c>
      <c r="C71" s="40" t="s">
        <v>129</v>
      </c>
      <c r="D71" s="40">
        <v>50</v>
      </c>
      <c r="E71" s="111">
        <v>587.20000000000005</v>
      </c>
      <c r="F71" s="111">
        <v>646.79999999999995</v>
      </c>
      <c r="G71" s="112">
        <v>714.6</v>
      </c>
      <c r="H71" s="37" t="s">
        <v>53</v>
      </c>
    </row>
    <row r="72" spans="1:8" ht="14.25" thickTop="1" thickBot="1" x14ac:dyDescent="0.25">
      <c r="A72" s="221" t="s">
        <v>1147</v>
      </c>
      <c r="B72" s="222">
        <v>0</v>
      </c>
      <c r="C72" s="222">
        <v>0</v>
      </c>
      <c r="D72" s="222">
        <v>0</v>
      </c>
      <c r="E72" s="222">
        <v>0</v>
      </c>
      <c r="F72" s="222">
        <v>0</v>
      </c>
      <c r="G72" s="223">
        <v>0</v>
      </c>
      <c r="H72" s="37" t="s">
        <v>44</v>
      </c>
    </row>
    <row r="73" spans="1:8" ht="14.25" thickTop="1" thickBot="1" x14ac:dyDescent="0.25">
      <c r="A73" s="38" t="s">
        <v>1148</v>
      </c>
      <c r="B73" s="39" t="s">
        <v>1149</v>
      </c>
      <c r="C73" s="40" t="s">
        <v>129</v>
      </c>
      <c r="D73" s="40">
        <v>110</v>
      </c>
      <c r="E73" s="41">
        <v>382.2</v>
      </c>
      <c r="F73" s="41">
        <v>419.6</v>
      </c>
      <c r="G73" s="42">
        <v>463.8</v>
      </c>
      <c r="H73" s="37" t="s">
        <v>53</v>
      </c>
    </row>
    <row r="74" spans="1:8" ht="14.25" thickTop="1" thickBot="1" x14ac:dyDescent="0.25">
      <c r="A74" s="38" t="s">
        <v>1150</v>
      </c>
      <c r="B74" s="39" t="s">
        <v>1151</v>
      </c>
      <c r="C74" s="40" t="s">
        <v>129</v>
      </c>
      <c r="D74" s="40">
        <v>110</v>
      </c>
      <c r="E74" s="41">
        <v>382.2</v>
      </c>
      <c r="F74" s="41">
        <v>419.6</v>
      </c>
      <c r="G74" s="42">
        <v>463.8</v>
      </c>
      <c r="H74" s="37" t="s">
        <v>53</v>
      </c>
    </row>
    <row r="75" spans="1:8" ht="14.25" thickTop="1" thickBot="1" x14ac:dyDescent="0.25">
      <c r="A75" s="221" t="s">
        <v>1152</v>
      </c>
      <c r="B75" s="222">
        <v>0</v>
      </c>
      <c r="C75" s="222">
        <v>0</v>
      </c>
      <c r="D75" s="222">
        <v>0</v>
      </c>
      <c r="E75" s="222">
        <v>0</v>
      </c>
      <c r="F75" s="222">
        <v>0</v>
      </c>
      <c r="G75" s="223">
        <v>0</v>
      </c>
      <c r="H75" s="37" t="s">
        <v>44</v>
      </c>
    </row>
    <row r="76" spans="1:8" ht="14.25" thickTop="1" thickBot="1" x14ac:dyDescent="0.25">
      <c r="A76" s="43" t="s">
        <v>1153</v>
      </c>
      <c r="B76" s="44" t="s">
        <v>1154</v>
      </c>
      <c r="C76" s="40" t="s">
        <v>129</v>
      </c>
      <c r="D76" s="40">
        <v>80</v>
      </c>
      <c r="E76" s="41">
        <v>587</v>
      </c>
      <c r="F76" s="41">
        <v>646.1</v>
      </c>
      <c r="G76" s="42">
        <v>713.9</v>
      </c>
      <c r="H76" s="37" t="s">
        <v>53</v>
      </c>
    </row>
    <row r="77" spans="1:8" ht="14.25" thickTop="1" thickBot="1" x14ac:dyDescent="0.25">
      <c r="A77" s="43" t="s">
        <v>1155</v>
      </c>
      <c r="B77" s="44" t="s">
        <v>1156</v>
      </c>
      <c r="C77" s="40" t="s">
        <v>129</v>
      </c>
      <c r="D77" s="40">
        <v>80</v>
      </c>
      <c r="E77" s="41">
        <v>587</v>
      </c>
      <c r="F77" s="41">
        <v>646.1</v>
      </c>
      <c r="G77" s="42">
        <v>713.9</v>
      </c>
      <c r="H77" s="37" t="s">
        <v>53</v>
      </c>
    </row>
    <row r="78" spans="1:8" ht="14.25" thickTop="1" thickBot="1" x14ac:dyDescent="0.25">
      <c r="A78" s="221" t="s">
        <v>1157</v>
      </c>
      <c r="B78" s="222">
        <v>0</v>
      </c>
      <c r="C78" s="222">
        <v>0</v>
      </c>
      <c r="D78" s="222">
        <v>0</v>
      </c>
      <c r="E78" s="222">
        <v>0</v>
      </c>
      <c r="F78" s="222">
        <v>0</v>
      </c>
      <c r="G78" s="223">
        <v>0</v>
      </c>
      <c r="H78" s="37" t="s">
        <v>44</v>
      </c>
    </row>
    <row r="79" spans="1:8" ht="14.25" thickTop="1" thickBot="1" x14ac:dyDescent="0.25">
      <c r="A79" s="38" t="s">
        <v>1158</v>
      </c>
      <c r="B79" s="39" t="s">
        <v>1159</v>
      </c>
      <c r="C79" s="40" t="s">
        <v>129</v>
      </c>
      <c r="D79" s="40">
        <v>450</v>
      </c>
      <c r="E79" s="41">
        <v>262.39999999999998</v>
      </c>
      <c r="F79" s="41">
        <v>289.7</v>
      </c>
      <c r="G79" s="42">
        <v>319.8</v>
      </c>
      <c r="H79" s="37" t="s">
        <v>53</v>
      </c>
    </row>
    <row r="80" spans="1:8" ht="14.25" thickTop="1" thickBot="1" x14ac:dyDescent="0.25">
      <c r="A80" s="38" t="s">
        <v>1160</v>
      </c>
      <c r="B80" s="39" t="s">
        <v>1161</v>
      </c>
      <c r="C80" s="40" t="s">
        <v>129</v>
      </c>
      <c r="D80" s="40">
        <v>120</v>
      </c>
      <c r="E80" s="41">
        <v>594.9</v>
      </c>
      <c r="F80" s="41">
        <v>654.20000000000005</v>
      </c>
      <c r="G80" s="42">
        <v>723.2</v>
      </c>
      <c r="H80" s="37" t="s">
        <v>53</v>
      </c>
    </row>
    <row r="81" spans="1:8" ht="14.25" thickTop="1" thickBot="1" x14ac:dyDescent="0.25">
      <c r="A81" s="38" t="s">
        <v>1162</v>
      </c>
      <c r="B81" s="39" t="s">
        <v>1163</v>
      </c>
      <c r="C81" s="40" t="s">
        <v>129</v>
      </c>
      <c r="D81" s="40">
        <v>120</v>
      </c>
      <c r="E81" s="41">
        <v>594.9</v>
      </c>
      <c r="F81" s="41">
        <v>654.20000000000005</v>
      </c>
      <c r="G81" s="42">
        <v>723.2</v>
      </c>
      <c r="H81" s="37" t="s">
        <v>53</v>
      </c>
    </row>
    <row r="82" spans="1:8" ht="14.25" thickTop="1" thickBot="1" x14ac:dyDescent="0.25">
      <c r="A82" s="221" t="s">
        <v>1164</v>
      </c>
      <c r="B82" s="222">
        <v>0</v>
      </c>
      <c r="C82" s="222">
        <v>0</v>
      </c>
      <c r="D82" s="222">
        <v>0</v>
      </c>
      <c r="E82" s="222">
        <v>0</v>
      </c>
      <c r="F82" s="222">
        <v>0</v>
      </c>
      <c r="G82" s="223">
        <v>0</v>
      </c>
      <c r="H82" s="37" t="s">
        <v>44</v>
      </c>
    </row>
    <row r="83" spans="1:8" ht="14.25" thickTop="1" thickBot="1" x14ac:dyDescent="0.25">
      <c r="A83" s="38" t="s">
        <v>1165</v>
      </c>
      <c r="B83" s="39" t="s">
        <v>1166</v>
      </c>
      <c r="C83" s="40" t="s">
        <v>129</v>
      </c>
      <c r="D83" s="40">
        <v>100</v>
      </c>
      <c r="E83" s="41">
        <v>545.1</v>
      </c>
      <c r="F83" s="41">
        <v>598.9</v>
      </c>
      <c r="G83" s="42">
        <v>661.9</v>
      </c>
      <c r="H83" s="37" t="s">
        <v>53</v>
      </c>
    </row>
    <row r="84" spans="1:8" ht="14.25" thickTop="1" thickBot="1" x14ac:dyDescent="0.25">
      <c r="A84" s="38" t="s">
        <v>1167</v>
      </c>
      <c r="B84" s="39" t="s">
        <v>1168</v>
      </c>
      <c r="C84" s="40" t="s">
        <v>129</v>
      </c>
      <c r="D84" s="40">
        <v>100</v>
      </c>
      <c r="E84" s="41">
        <v>545.1</v>
      </c>
      <c r="F84" s="41">
        <v>598.9</v>
      </c>
      <c r="G84" s="42">
        <v>661.9</v>
      </c>
      <c r="H84" s="37" t="s">
        <v>53</v>
      </c>
    </row>
    <row r="85" spans="1:8" ht="14.25" thickTop="1" thickBot="1" x14ac:dyDescent="0.25">
      <c r="A85" s="221" t="s">
        <v>1169</v>
      </c>
      <c r="B85" s="222">
        <v>0</v>
      </c>
      <c r="C85" s="222">
        <v>0</v>
      </c>
      <c r="D85" s="222">
        <v>0</v>
      </c>
      <c r="E85" s="222">
        <v>0</v>
      </c>
      <c r="F85" s="222">
        <v>0</v>
      </c>
      <c r="G85" s="223">
        <v>0</v>
      </c>
      <c r="H85" s="37" t="s">
        <v>44</v>
      </c>
    </row>
    <row r="86" spans="1:8" ht="14.25" thickTop="1" thickBot="1" x14ac:dyDescent="0.25">
      <c r="A86" s="49" t="s">
        <v>1170</v>
      </c>
      <c r="B86" s="50" t="s">
        <v>1171</v>
      </c>
      <c r="C86" s="51" t="s">
        <v>129</v>
      </c>
      <c r="D86" s="51">
        <v>100</v>
      </c>
      <c r="E86" s="52">
        <v>1054.8</v>
      </c>
      <c r="F86" s="52">
        <v>1165.5</v>
      </c>
      <c r="G86" s="53">
        <v>1281.5999999999999</v>
      </c>
      <c r="H86" s="54" t="s">
        <v>53</v>
      </c>
    </row>
    <row r="87" spans="1:8" ht="13.5" thickTop="1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  <row r="91" spans="1:8" x14ac:dyDescent="0.2">
      <c r="A91" s="55"/>
      <c r="B91" s="56"/>
      <c r="C91" s="57"/>
      <c r="D91" s="57"/>
      <c r="E91" s="58"/>
      <c r="F91" s="58"/>
      <c r="G91" s="58"/>
      <c r="H91" s="59"/>
    </row>
    <row r="92" spans="1:8" x14ac:dyDescent="0.2">
      <c r="A92" s="55"/>
      <c r="B92" s="56"/>
      <c r="C92" s="57"/>
      <c r="D92" s="57"/>
      <c r="E92" s="58"/>
      <c r="F92" s="58"/>
      <c r="G92" s="58"/>
      <c r="H92" s="59"/>
    </row>
    <row r="93" spans="1:8" x14ac:dyDescent="0.2">
      <c r="A93" s="55"/>
      <c r="B93" s="56"/>
      <c r="C93" s="57"/>
      <c r="D93" s="57"/>
      <c r="E93" s="58"/>
      <c r="F93" s="58"/>
      <c r="G93" s="58"/>
      <c r="H93" s="59"/>
    </row>
    <row r="94" spans="1:8" x14ac:dyDescent="0.2">
      <c r="A94" s="55"/>
      <c r="B94" s="56"/>
      <c r="C94" s="57"/>
      <c r="D94" s="57"/>
      <c r="E94" s="58"/>
      <c r="F94" s="58"/>
      <c r="G94" s="58"/>
      <c r="H94" s="59"/>
    </row>
    <row r="95" spans="1:8" x14ac:dyDescent="0.2">
      <c r="A95" s="55"/>
      <c r="B95" s="56"/>
      <c r="C95" s="57"/>
      <c r="D95" s="57"/>
      <c r="E95" s="58"/>
      <c r="F95" s="58"/>
      <c r="G95" s="58"/>
      <c r="H95" s="59"/>
    </row>
    <row r="96" spans="1:8" x14ac:dyDescent="0.2">
      <c r="A96" s="55"/>
      <c r="B96" s="56"/>
      <c r="C96" s="57"/>
      <c r="D96" s="57"/>
      <c r="E96" s="58"/>
      <c r="F96" s="58"/>
      <c r="G96" s="58"/>
      <c r="H96" s="59"/>
    </row>
    <row r="97" spans="1:8" x14ac:dyDescent="0.2">
      <c r="A97" s="55"/>
      <c r="B97" s="56"/>
      <c r="C97" s="57"/>
      <c r="D97" s="57"/>
      <c r="E97" s="58"/>
      <c r="F97" s="58"/>
      <c r="G97" s="58"/>
      <c r="H97" s="59"/>
    </row>
    <row r="98" spans="1:8" x14ac:dyDescent="0.2">
      <c r="A98" s="55"/>
      <c r="B98" s="56"/>
      <c r="C98" s="57"/>
      <c r="D98" s="57"/>
      <c r="E98" s="58"/>
      <c r="F98" s="58"/>
      <c r="G98" s="58"/>
      <c r="H98" s="59"/>
    </row>
    <row r="99" spans="1:8" x14ac:dyDescent="0.2">
      <c r="A99" s="55"/>
      <c r="B99" s="56"/>
      <c r="C99" s="57"/>
      <c r="D99" s="57"/>
      <c r="E99" s="58"/>
      <c r="F99" s="58"/>
      <c r="G99" s="58"/>
      <c r="H99" s="59"/>
    </row>
    <row r="100" spans="1:8" x14ac:dyDescent="0.2">
      <c r="A100" s="55"/>
      <c r="B100" s="56"/>
      <c r="C100" s="57"/>
      <c r="D100" s="57"/>
      <c r="E100" s="58"/>
      <c r="F100" s="58"/>
      <c r="G100" s="58"/>
      <c r="H100" s="59"/>
    </row>
    <row r="101" spans="1:8" x14ac:dyDescent="0.2">
      <c r="A101" s="55"/>
      <c r="B101" s="56"/>
      <c r="C101" s="57"/>
      <c r="D101" s="57"/>
      <c r="E101" s="58"/>
      <c r="F101" s="58"/>
      <c r="G101" s="58"/>
      <c r="H101" s="59"/>
    </row>
    <row r="102" spans="1:8" x14ac:dyDescent="0.2">
      <c r="A102" s="55"/>
      <c r="B102" s="56"/>
      <c r="C102" s="57"/>
      <c r="D102" s="57"/>
      <c r="E102" s="58"/>
      <c r="F102" s="58"/>
      <c r="G102" s="58"/>
      <c r="H102" s="59"/>
    </row>
    <row r="103" spans="1:8" x14ac:dyDescent="0.2">
      <c r="A103" s="55"/>
      <c r="B103" s="56"/>
      <c r="C103" s="57"/>
      <c r="D103" s="57"/>
      <c r="E103" s="58"/>
      <c r="F103" s="58"/>
      <c r="G103" s="58"/>
      <c r="H103" s="59"/>
    </row>
    <row r="104" spans="1:8" x14ac:dyDescent="0.2">
      <c r="A104" s="55"/>
      <c r="B104" s="56"/>
      <c r="C104" s="57"/>
      <c r="D104" s="57"/>
      <c r="E104" s="58"/>
      <c r="F104" s="58"/>
      <c r="G104" s="58"/>
      <c r="H104" s="59"/>
    </row>
    <row r="105" spans="1:8" x14ac:dyDescent="0.2">
      <c r="A105" s="55"/>
      <c r="B105" s="56"/>
      <c r="C105" s="57"/>
      <c r="D105" s="57"/>
      <c r="E105" s="58"/>
      <c r="F105" s="58"/>
      <c r="G105" s="58"/>
      <c r="H105" s="59"/>
    </row>
    <row r="106" spans="1:8" x14ac:dyDescent="0.2">
      <c r="A106" s="55"/>
      <c r="B106" s="56"/>
      <c r="C106" s="57"/>
      <c r="D106" s="57"/>
      <c r="E106" s="58"/>
      <c r="F106" s="58"/>
      <c r="G106" s="58"/>
      <c r="H106" s="59"/>
    </row>
    <row r="107" spans="1:8" x14ac:dyDescent="0.2">
      <c r="A107" s="55"/>
      <c r="B107" s="56"/>
      <c r="C107" s="57"/>
      <c r="D107" s="57"/>
      <c r="E107" s="58"/>
      <c r="F107" s="58"/>
      <c r="G107" s="58"/>
      <c r="H107" s="59"/>
    </row>
    <row r="108" spans="1:8" x14ac:dyDescent="0.2">
      <c r="A108" s="55"/>
      <c r="B108" s="56"/>
      <c r="C108" s="57"/>
      <c r="D108" s="57"/>
      <c r="E108" s="58"/>
      <c r="F108" s="58"/>
      <c r="G108" s="58"/>
      <c r="H108" s="59"/>
    </row>
    <row r="109" spans="1:8" x14ac:dyDescent="0.2">
      <c r="A109" s="55"/>
      <c r="B109" s="56"/>
      <c r="C109" s="57"/>
      <c r="D109" s="57"/>
      <c r="E109" s="58"/>
      <c r="F109" s="58"/>
      <c r="G109" s="58"/>
      <c r="H109" s="59"/>
    </row>
    <row r="110" spans="1:8" x14ac:dyDescent="0.2">
      <c r="A110" s="55"/>
      <c r="B110" s="56"/>
      <c r="C110" s="57"/>
      <c r="D110" s="57"/>
      <c r="E110" s="58"/>
      <c r="F110" s="58"/>
      <c r="G110" s="58"/>
      <c r="H110" s="59"/>
    </row>
    <row r="111" spans="1:8" x14ac:dyDescent="0.2">
      <c r="A111" s="55"/>
      <c r="B111" s="56"/>
      <c r="C111" s="57"/>
      <c r="D111" s="57"/>
      <c r="E111" s="58"/>
      <c r="F111" s="58"/>
      <c r="G111" s="58"/>
      <c r="H111" s="59"/>
    </row>
    <row r="112" spans="1:8" x14ac:dyDescent="0.2">
      <c r="A112" s="55"/>
      <c r="B112" s="56"/>
      <c r="C112" s="57"/>
      <c r="D112" s="57"/>
      <c r="E112" s="58"/>
      <c r="F112" s="58"/>
      <c r="G112" s="58"/>
      <c r="H112" s="59"/>
    </row>
    <row r="113" spans="1:8" x14ac:dyDescent="0.2">
      <c r="A113" s="55"/>
      <c r="B113" s="56"/>
      <c r="C113" s="57"/>
      <c r="D113" s="57"/>
      <c r="E113" s="58"/>
      <c r="F113" s="58"/>
      <c r="G113" s="58"/>
      <c r="H113" s="59"/>
    </row>
    <row r="114" spans="1:8" x14ac:dyDescent="0.2">
      <c r="A114" s="55"/>
      <c r="B114" s="56"/>
      <c r="C114" s="57"/>
      <c r="D114" s="57"/>
      <c r="E114" s="58"/>
      <c r="F114" s="58"/>
      <c r="G114" s="58"/>
      <c r="H114" s="59"/>
    </row>
    <row r="115" spans="1:8" x14ac:dyDescent="0.2">
      <c r="A115" s="55"/>
      <c r="B115" s="56"/>
      <c r="C115" s="57"/>
      <c r="D115" s="57"/>
      <c r="E115" s="58"/>
      <c r="F115" s="58"/>
      <c r="G115" s="58"/>
      <c r="H115" s="59"/>
    </row>
    <row r="116" spans="1:8" x14ac:dyDescent="0.2">
      <c r="A116" s="55"/>
      <c r="B116" s="56"/>
      <c r="C116" s="57"/>
      <c r="D116" s="57"/>
      <c r="E116" s="58"/>
      <c r="F116" s="58"/>
      <c r="G116" s="58"/>
      <c r="H116" s="59"/>
    </row>
    <row r="117" spans="1:8" x14ac:dyDescent="0.2">
      <c r="A117" s="55"/>
      <c r="B117" s="56"/>
      <c r="C117" s="57"/>
      <c r="D117" s="57"/>
      <c r="E117" s="58"/>
      <c r="F117" s="58"/>
      <c r="G117" s="58"/>
      <c r="H117" s="59"/>
    </row>
    <row r="118" spans="1:8" x14ac:dyDescent="0.2">
      <c r="A118" s="55"/>
      <c r="B118" s="56"/>
      <c r="C118" s="57"/>
      <c r="D118" s="57"/>
      <c r="E118" s="58"/>
      <c r="F118" s="58"/>
      <c r="G118" s="58"/>
      <c r="H118" s="59"/>
    </row>
    <row r="119" spans="1:8" x14ac:dyDescent="0.2">
      <c r="A119" s="55"/>
      <c r="B119" s="56"/>
      <c r="C119" s="57"/>
      <c r="D119" s="57"/>
      <c r="E119" s="58"/>
      <c r="F119" s="58"/>
      <c r="G119" s="58"/>
      <c r="H119" s="59"/>
    </row>
    <row r="120" spans="1:8" x14ac:dyDescent="0.2">
      <c r="A120" s="55"/>
      <c r="B120" s="56"/>
      <c r="C120" s="57"/>
      <c r="D120" s="57"/>
      <c r="E120" s="58"/>
      <c r="F120" s="58"/>
      <c r="G120" s="58"/>
      <c r="H120" s="59"/>
    </row>
    <row r="121" spans="1:8" x14ac:dyDescent="0.2">
      <c r="A121" s="55"/>
      <c r="B121" s="56"/>
      <c r="C121" s="57"/>
      <c r="D121" s="57"/>
      <c r="E121" s="58"/>
      <c r="F121" s="58"/>
      <c r="G121" s="58"/>
      <c r="H121" s="59"/>
    </row>
    <row r="122" spans="1:8" x14ac:dyDescent="0.2">
      <c r="A122" s="55"/>
      <c r="B122" s="56"/>
      <c r="C122" s="57"/>
      <c r="D122" s="57"/>
      <c r="E122" s="58"/>
      <c r="F122" s="58"/>
      <c r="G122" s="58"/>
      <c r="H122" s="59"/>
    </row>
    <row r="123" spans="1:8" x14ac:dyDescent="0.2">
      <c r="A123" s="55"/>
      <c r="B123" s="56"/>
      <c r="C123" s="57"/>
      <c r="D123" s="57"/>
      <c r="E123" s="58"/>
      <c r="F123" s="58"/>
      <c r="G123" s="58"/>
      <c r="H123" s="59"/>
    </row>
    <row r="124" spans="1:8" x14ac:dyDescent="0.2">
      <c r="A124" s="55"/>
      <c r="B124" s="56"/>
      <c r="C124" s="57"/>
      <c r="D124" s="57"/>
      <c r="E124" s="58"/>
      <c r="F124" s="58"/>
      <c r="G124" s="58"/>
      <c r="H124" s="59"/>
    </row>
    <row r="125" spans="1:8" x14ac:dyDescent="0.2">
      <c r="A125" s="55"/>
      <c r="B125" s="56"/>
      <c r="C125" s="57"/>
      <c r="D125" s="57"/>
      <c r="E125" s="58"/>
      <c r="F125" s="58"/>
      <c r="G125" s="58"/>
      <c r="H125" s="59"/>
    </row>
    <row r="126" spans="1:8" x14ac:dyDescent="0.2">
      <c r="A126" s="55"/>
      <c r="B126" s="56"/>
      <c r="C126" s="57"/>
      <c r="D126" s="57"/>
      <c r="E126" s="58"/>
      <c r="F126" s="58"/>
      <c r="G126" s="58"/>
      <c r="H126" s="59"/>
    </row>
    <row r="127" spans="1:8" x14ac:dyDescent="0.2">
      <c r="A127" s="55"/>
      <c r="B127" s="56"/>
      <c r="C127" s="57"/>
      <c r="D127" s="57"/>
      <c r="E127" s="58"/>
      <c r="F127" s="58"/>
      <c r="G127" s="58"/>
      <c r="H127" s="59"/>
    </row>
    <row r="128" spans="1:8" x14ac:dyDescent="0.2">
      <c r="A128" s="55"/>
      <c r="B128" s="56"/>
      <c r="C128" s="57"/>
      <c r="D128" s="57"/>
      <c r="E128" s="58"/>
      <c r="F128" s="58"/>
      <c r="G128" s="58"/>
      <c r="H128" s="59"/>
    </row>
    <row r="129" spans="1:8" x14ac:dyDescent="0.2">
      <c r="A129" s="55"/>
      <c r="B129" s="56"/>
      <c r="C129" s="57"/>
      <c r="D129" s="57"/>
      <c r="E129" s="58"/>
      <c r="F129" s="58"/>
      <c r="G129" s="58"/>
      <c r="H129" s="59"/>
    </row>
    <row r="130" spans="1:8" x14ac:dyDescent="0.2">
      <c r="A130" s="55"/>
      <c r="B130" s="56"/>
      <c r="C130" s="57"/>
      <c r="D130" s="57"/>
      <c r="E130" s="58"/>
      <c r="F130" s="58"/>
      <c r="G130" s="58"/>
      <c r="H130" s="59"/>
    </row>
    <row r="131" spans="1:8" x14ac:dyDescent="0.2">
      <c r="A131" s="55"/>
      <c r="B131" s="56"/>
      <c r="C131" s="57"/>
      <c r="D131" s="57"/>
      <c r="E131" s="58"/>
      <c r="F131" s="58"/>
      <c r="G131" s="58"/>
      <c r="H131" s="59"/>
    </row>
  </sheetData>
  <mergeCells count="20">
    <mergeCell ref="A1:B1"/>
    <mergeCell ref="A2:A3"/>
    <mergeCell ref="B2:B3"/>
    <mergeCell ref="C2:C3"/>
    <mergeCell ref="D2:D3"/>
    <mergeCell ref="H2:H3"/>
    <mergeCell ref="A7:G7"/>
    <mergeCell ref="A8:G8"/>
    <mergeCell ref="A10:G10"/>
    <mergeCell ref="A82:G82"/>
    <mergeCell ref="A38:G38"/>
    <mergeCell ref="E2:F2"/>
    <mergeCell ref="G2:G3"/>
    <mergeCell ref="A85:G85"/>
    <mergeCell ref="A61:G61"/>
    <mergeCell ref="A63:G63"/>
    <mergeCell ref="A70:G70"/>
    <mergeCell ref="A72:G72"/>
    <mergeCell ref="A75:G75"/>
    <mergeCell ref="A78:G78"/>
  </mergeCells>
  <phoneticPr fontId="0" type="noConversion"/>
  <conditionalFormatting sqref="C40:D45 C55:D56 C79:D81 C11:D19 C71:D71 C73:D73 C83:D84 C49:D49 C22:D33 C51:D53 C35:D36 C64:D68 E62:G62 E11:G37 E39:G60 C1:C2 D1:D3">
    <cfRule type="cellIs" dxfId="111" priority="38" stopIfTrue="1" operator="equal">
      <formula>0</formula>
    </cfRule>
  </conditionalFormatting>
  <conditionalFormatting sqref="C39:D39">
    <cfRule type="cellIs" dxfId="110" priority="37" stopIfTrue="1" operator="equal">
      <formula>0</formula>
    </cfRule>
  </conditionalFormatting>
  <conditionalFormatting sqref="C54:D54">
    <cfRule type="cellIs" dxfId="109" priority="36" stopIfTrue="1" operator="equal">
      <formula>0</formula>
    </cfRule>
  </conditionalFormatting>
  <conditionalFormatting sqref="C58:D58">
    <cfRule type="cellIs" dxfId="108" priority="35" stopIfTrue="1" operator="equal">
      <formula>0</formula>
    </cfRule>
  </conditionalFormatting>
  <conditionalFormatting sqref="C86:D86">
    <cfRule type="cellIs" dxfId="107" priority="34" stopIfTrue="1" operator="equal">
      <formula>0</formula>
    </cfRule>
  </conditionalFormatting>
  <conditionalFormatting sqref="C74:D74">
    <cfRule type="cellIs" dxfId="106" priority="33" stopIfTrue="1" operator="equal">
      <formula>0</formula>
    </cfRule>
  </conditionalFormatting>
  <conditionalFormatting sqref="C57:D57">
    <cfRule type="cellIs" dxfId="105" priority="32" stopIfTrue="1" operator="equal">
      <formula>0</formula>
    </cfRule>
  </conditionalFormatting>
  <conditionalFormatting sqref="C76:D76">
    <cfRule type="cellIs" dxfId="104" priority="31" stopIfTrue="1" operator="equal">
      <formula>0</formula>
    </cfRule>
  </conditionalFormatting>
  <conditionalFormatting sqref="C77:D77">
    <cfRule type="cellIs" dxfId="103" priority="30" stopIfTrue="1" operator="equal">
      <formula>0</formula>
    </cfRule>
  </conditionalFormatting>
  <conditionalFormatting sqref="C47:D47">
    <cfRule type="cellIs" dxfId="102" priority="19" stopIfTrue="1" operator="equal">
      <formula>0</formula>
    </cfRule>
  </conditionalFormatting>
  <conditionalFormatting sqref="C34:D34">
    <cfRule type="cellIs" dxfId="101" priority="17" stopIfTrue="1" operator="equal">
      <formula>0</formula>
    </cfRule>
  </conditionalFormatting>
  <conditionalFormatting sqref="C60">
    <cfRule type="cellIs" dxfId="100" priority="26" stopIfTrue="1" operator="equal">
      <formula>0</formula>
    </cfRule>
  </conditionalFormatting>
  <conditionalFormatting sqref="D62">
    <cfRule type="cellIs" dxfId="99" priority="25" stopIfTrue="1" operator="equal">
      <formula>0</formula>
    </cfRule>
  </conditionalFormatting>
  <conditionalFormatting sqref="C62">
    <cfRule type="cellIs" dxfId="98" priority="24" stopIfTrue="1" operator="equal">
      <formula>0</formula>
    </cfRule>
  </conditionalFormatting>
  <conditionalFormatting sqref="C9:D9">
    <cfRule type="cellIs" dxfId="97" priority="23" stopIfTrue="1" operator="equal">
      <formula>0</formula>
    </cfRule>
  </conditionalFormatting>
  <conditionalFormatting sqref="C20:D20">
    <cfRule type="cellIs" dxfId="96" priority="22" stopIfTrue="1" operator="equal">
      <formula>0</formula>
    </cfRule>
  </conditionalFormatting>
  <conditionalFormatting sqref="C46:D46">
    <cfRule type="cellIs" dxfId="95" priority="21" stopIfTrue="1" operator="equal">
      <formula>0</formula>
    </cfRule>
  </conditionalFormatting>
  <conditionalFormatting sqref="C21:D21">
    <cfRule type="cellIs" dxfId="94" priority="20" stopIfTrue="1" operator="equal">
      <formula>0</formula>
    </cfRule>
  </conditionalFormatting>
  <conditionalFormatting sqref="C59:D59">
    <cfRule type="cellIs" dxfId="93" priority="16" stopIfTrue="1" operator="equal">
      <formula>0</formula>
    </cfRule>
  </conditionalFormatting>
  <conditionalFormatting sqref="C48:D48">
    <cfRule type="cellIs" dxfId="92" priority="15" stopIfTrue="1" operator="equal">
      <formula>0</formula>
    </cfRule>
  </conditionalFormatting>
  <conditionalFormatting sqref="C7:D7">
    <cfRule type="cellIs" dxfId="91" priority="14" stopIfTrue="1" operator="equal">
      <formula>0</formula>
    </cfRule>
  </conditionalFormatting>
  <conditionalFormatting sqref="C8:D8">
    <cfRule type="cellIs" dxfId="90" priority="13" stopIfTrue="1" operator="equal">
      <formula>0</formula>
    </cfRule>
  </conditionalFormatting>
  <conditionalFormatting sqref="C10:D10">
    <cfRule type="cellIs" dxfId="89" priority="12" stopIfTrue="1" operator="equal">
      <formula>0</formula>
    </cfRule>
  </conditionalFormatting>
  <conditionalFormatting sqref="C38:D38">
    <cfRule type="cellIs" dxfId="88" priority="11" stopIfTrue="1" operator="equal">
      <formula>0</formula>
    </cfRule>
  </conditionalFormatting>
  <conditionalFormatting sqref="C61:D61">
    <cfRule type="cellIs" dxfId="87" priority="10" stopIfTrue="1" operator="equal">
      <formula>0</formula>
    </cfRule>
  </conditionalFormatting>
  <conditionalFormatting sqref="C63:D63">
    <cfRule type="cellIs" dxfId="86" priority="9" stopIfTrue="1" operator="equal">
      <formula>0</formula>
    </cfRule>
  </conditionalFormatting>
  <conditionalFormatting sqref="C70:D70">
    <cfRule type="cellIs" dxfId="85" priority="8" stopIfTrue="1" operator="equal">
      <formula>0</formula>
    </cfRule>
  </conditionalFormatting>
  <conditionalFormatting sqref="C72:D72">
    <cfRule type="cellIs" dxfId="84" priority="7" stopIfTrue="1" operator="equal">
      <formula>0</formula>
    </cfRule>
  </conditionalFormatting>
  <conditionalFormatting sqref="C75:D75">
    <cfRule type="cellIs" dxfId="83" priority="6" stopIfTrue="1" operator="equal">
      <formula>0</formula>
    </cfRule>
  </conditionalFormatting>
  <conditionalFormatting sqref="C78:D78">
    <cfRule type="cellIs" dxfId="82" priority="5" stopIfTrue="1" operator="equal">
      <formula>0</formula>
    </cfRule>
  </conditionalFormatting>
  <conditionalFormatting sqref="C82:D82">
    <cfRule type="cellIs" dxfId="81" priority="4" stopIfTrue="1" operator="equal">
      <formula>0</formula>
    </cfRule>
  </conditionalFormatting>
  <conditionalFormatting sqref="C85:D85">
    <cfRule type="cellIs" dxfId="80" priority="3" stopIfTrue="1" operator="equal">
      <formula>0</formula>
    </cfRule>
  </conditionalFormatting>
  <conditionalFormatting sqref="C50:D50">
    <cfRule type="cellIs" dxfId="79" priority="18" stopIfTrue="1" operator="equal">
      <formula>0</formula>
    </cfRule>
  </conditionalFormatting>
  <conditionalFormatting sqref="D37">
    <cfRule type="cellIs" dxfId="78" priority="29" stopIfTrue="1" operator="equal">
      <formula>0</formula>
    </cfRule>
  </conditionalFormatting>
  <conditionalFormatting sqref="C37">
    <cfRule type="cellIs" dxfId="77" priority="28" stopIfTrue="1" operator="equal">
      <formula>0</formula>
    </cfRule>
  </conditionalFormatting>
  <conditionalFormatting sqref="D60">
    <cfRule type="cellIs" dxfId="76" priority="27" stopIfTrue="1" operator="equal">
      <formula>0</formula>
    </cfRule>
  </conditionalFormatting>
  <conditionalFormatting sqref="C69:D69">
    <cfRule type="cellIs" dxfId="75" priority="2" stopIfTrue="1" operator="equal">
      <formula>0</formula>
    </cfRule>
  </conditionalFormatting>
  <conditionalFormatting sqref="C87:D131">
    <cfRule type="cellIs" dxfId="74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3" fitToHeight="6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H114"/>
  <sheetViews>
    <sheetView zoomScale="75" workbookViewId="0">
      <pane ySplit="3" topLeftCell="A4" activePane="bottomLeft" state="frozen"/>
      <selection activeCell="I6" sqref="I6"/>
      <selection pane="bottomLeft" activeCell="H2" sqref="H2:H3"/>
    </sheetView>
  </sheetViews>
  <sheetFormatPr defaultRowHeight="12.75" x14ac:dyDescent="0.2"/>
  <cols>
    <col min="1" max="1" width="22.42578125" customWidth="1"/>
    <col min="2" max="2" width="86.42578125" customWidth="1"/>
    <col min="3" max="3" width="10.85546875" customWidth="1"/>
    <col min="4" max="4" width="10.42578125" customWidth="1"/>
    <col min="5" max="6" width="11.42578125" customWidth="1"/>
    <col min="7" max="7" width="10.8554687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23.2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8.9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8.9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1172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1173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113" t="s">
        <v>1174</v>
      </c>
      <c r="B9" s="39" t="s">
        <v>1175</v>
      </c>
      <c r="C9" s="40" t="s">
        <v>129</v>
      </c>
      <c r="D9" s="40">
        <v>750</v>
      </c>
      <c r="E9" s="114">
        <v>32.200000000000003</v>
      </c>
      <c r="F9" s="114">
        <v>35.4</v>
      </c>
      <c r="G9" s="115">
        <v>39.1</v>
      </c>
      <c r="H9" s="37" t="s">
        <v>53</v>
      </c>
    </row>
    <row r="10" spans="1:8" ht="18.95" customHeight="1" thickTop="1" thickBot="1" x14ac:dyDescent="0.25">
      <c r="A10" s="113" t="s">
        <v>1176</v>
      </c>
      <c r="B10" s="39" t="s">
        <v>1177</v>
      </c>
      <c r="C10" s="40" t="s">
        <v>129</v>
      </c>
      <c r="D10" s="40">
        <v>750</v>
      </c>
      <c r="E10" s="114">
        <v>32.200000000000003</v>
      </c>
      <c r="F10" s="114">
        <v>35.4</v>
      </c>
      <c r="G10" s="115">
        <v>39.1</v>
      </c>
      <c r="H10" s="37" t="s">
        <v>53</v>
      </c>
    </row>
    <row r="11" spans="1:8" ht="18.95" customHeight="1" thickTop="1" thickBot="1" x14ac:dyDescent="0.25">
      <c r="A11" s="113" t="s">
        <v>1178</v>
      </c>
      <c r="B11" s="39" t="s">
        <v>1179</v>
      </c>
      <c r="C11" s="40" t="s">
        <v>129</v>
      </c>
      <c r="D11" s="40">
        <v>500</v>
      </c>
      <c r="E11" s="114">
        <v>34.200000000000003</v>
      </c>
      <c r="F11" s="114">
        <v>37.700000000000003</v>
      </c>
      <c r="G11" s="115">
        <v>41.6</v>
      </c>
      <c r="H11" s="37" t="s">
        <v>53</v>
      </c>
    </row>
    <row r="12" spans="1:8" ht="18.95" customHeight="1" thickTop="1" thickBot="1" x14ac:dyDescent="0.25">
      <c r="A12" s="113" t="s">
        <v>1180</v>
      </c>
      <c r="B12" s="39" t="s">
        <v>1181</v>
      </c>
      <c r="C12" s="40" t="s">
        <v>129</v>
      </c>
      <c r="D12" s="40">
        <v>250</v>
      </c>
      <c r="E12" s="114">
        <v>42.9</v>
      </c>
      <c r="F12" s="114">
        <v>47.3</v>
      </c>
      <c r="G12" s="115">
        <v>52.2</v>
      </c>
      <c r="H12" s="37" t="s">
        <v>53</v>
      </c>
    </row>
    <row r="13" spans="1:8" ht="18.95" customHeight="1" thickTop="1" thickBot="1" x14ac:dyDescent="0.25">
      <c r="A13" s="113" t="s">
        <v>1182</v>
      </c>
      <c r="B13" s="39" t="s">
        <v>1183</v>
      </c>
      <c r="C13" s="40" t="s">
        <v>129</v>
      </c>
      <c r="D13" s="40">
        <v>14</v>
      </c>
      <c r="E13" s="114">
        <v>1619.6</v>
      </c>
      <c r="F13" s="114">
        <v>1829.4</v>
      </c>
      <c r="G13" s="115">
        <v>2012.6</v>
      </c>
      <c r="H13" s="37" t="s">
        <v>53</v>
      </c>
    </row>
    <row r="14" spans="1:8" ht="18.95" customHeight="1" thickTop="1" thickBot="1" x14ac:dyDescent="0.25">
      <c r="A14" s="113" t="s">
        <v>1184</v>
      </c>
      <c r="B14" s="39" t="s">
        <v>1185</v>
      </c>
      <c r="C14" s="40" t="s">
        <v>129</v>
      </c>
      <c r="D14" s="40">
        <v>100</v>
      </c>
      <c r="E14" s="114">
        <v>89.8</v>
      </c>
      <c r="F14" s="114">
        <v>100.7</v>
      </c>
      <c r="G14" s="115">
        <v>110.9</v>
      </c>
      <c r="H14" s="37" t="s">
        <v>53</v>
      </c>
    </row>
    <row r="15" spans="1:8" ht="18.95" customHeight="1" thickTop="1" thickBot="1" x14ac:dyDescent="0.25">
      <c r="A15" s="113" t="s">
        <v>1186</v>
      </c>
      <c r="B15" s="39" t="s">
        <v>1187</v>
      </c>
      <c r="C15" s="40" t="s">
        <v>129</v>
      </c>
      <c r="D15" s="40">
        <v>8</v>
      </c>
      <c r="E15" s="114">
        <v>2590.6999999999998</v>
      </c>
      <c r="F15" s="114">
        <v>2927.8</v>
      </c>
      <c r="G15" s="115">
        <v>3220.1</v>
      </c>
      <c r="H15" s="37" t="s">
        <v>53</v>
      </c>
    </row>
    <row r="16" spans="1:8" ht="18.95" customHeight="1" thickTop="1" thickBot="1" x14ac:dyDescent="0.25">
      <c r="A16" s="113" t="s">
        <v>1188</v>
      </c>
      <c r="B16" s="39" t="s">
        <v>1189</v>
      </c>
      <c r="C16" s="40" t="s">
        <v>129</v>
      </c>
      <c r="D16" s="40">
        <v>170</v>
      </c>
      <c r="E16" s="114">
        <v>142.1</v>
      </c>
      <c r="F16" s="114">
        <v>161.19999999999999</v>
      </c>
      <c r="G16" s="115">
        <v>177.8</v>
      </c>
      <c r="H16" s="37" t="s">
        <v>53</v>
      </c>
    </row>
    <row r="17" spans="1:8" ht="18.95" customHeight="1" thickTop="1" thickBot="1" x14ac:dyDescent="0.25">
      <c r="A17" s="113" t="s">
        <v>1190</v>
      </c>
      <c r="B17" s="39" t="s">
        <v>1191</v>
      </c>
      <c r="C17" s="40" t="s">
        <v>129</v>
      </c>
      <c r="D17" s="40">
        <v>7</v>
      </c>
      <c r="E17" s="114">
        <v>2850</v>
      </c>
      <c r="F17" s="114">
        <v>3220.1</v>
      </c>
      <c r="G17" s="115">
        <v>3542.5</v>
      </c>
      <c r="H17" s="37" t="s">
        <v>53</v>
      </c>
    </row>
    <row r="18" spans="1:8" ht="18.95" customHeight="1" thickTop="1" thickBot="1" x14ac:dyDescent="0.25">
      <c r="A18" s="113" t="s">
        <v>1192</v>
      </c>
      <c r="B18" s="39" t="s">
        <v>1193</v>
      </c>
      <c r="C18" s="40" t="s">
        <v>129</v>
      </c>
      <c r="D18" s="40">
        <v>50</v>
      </c>
      <c r="E18" s="114">
        <v>156.6</v>
      </c>
      <c r="F18" s="114">
        <v>176.9</v>
      </c>
      <c r="G18" s="115">
        <v>195.1</v>
      </c>
      <c r="H18" s="37" t="s">
        <v>53</v>
      </c>
    </row>
    <row r="19" spans="1:8" ht="18.95" customHeight="1" thickTop="1" thickBot="1" x14ac:dyDescent="0.25">
      <c r="A19" s="113" t="s">
        <v>1194</v>
      </c>
      <c r="B19" s="39" t="s">
        <v>1195</v>
      </c>
      <c r="C19" s="40" t="s">
        <v>129</v>
      </c>
      <c r="D19" s="40">
        <v>7</v>
      </c>
      <c r="E19" s="114">
        <v>2850</v>
      </c>
      <c r="F19" s="114">
        <v>3220.1</v>
      </c>
      <c r="G19" s="115">
        <v>3542.5</v>
      </c>
      <c r="H19" s="37" t="s">
        <v>53</v>
      </c>
    </row>
    <row r="20" spans="1:8" ht="18.95" customHeight="1" thickTop="1" thickBot="1" x14ac:dyDescent="0.25">
      <c r="A20" s="113" t="s">
        <v>1196</v>
      </c>
      <c r="B20" s="39" t="s">
        <v>1197</v>
      </c>
      <c r="C20" s="40" t="s">
        <v>129</v>
      </c>
      <c r="D20" s="40">
        <v>40</v>
      </c>
      <c r="E20" s="114">
        <v>156.6</v>
      </c>
      <c r="F20" s="114">
        <v>176.9</v>
      </c>
      <c r="G20" s="115">
        <v>195.1</v>
      </c>
      <c r="H20" s="37" t="s">
        <v>53</v>
      </c>
    </row>
    <row r="21" spans="1:8" ht="18.95" customHeight="1" thickTop="1" thickBot="1" x14ac:dyDescent="0.25">
      <c r="A21" s="113" t="s">
        <v>1198</v>
      </c>
      <c r="B21" s="39" t="s">
        <v>1199</v>
      </c>
      <c r="C21" s="40" t="s">
        <v>129</v>
      </c>
      <c r="D21" s="40">
        <v>5</v>
      </c>
      <c r="E21" s="114">
        <v>2296</v>
      </c>
      <c r="F21" s="114">
        <v>2594.3000000000002</v>
      </c>
      <c r="G21" s="115">
        <v>2853.6</v>
      </c>
      <c r="H21" s="37" t="s">
        <v>53</v>
      </c>
    </row>
    <row r="22" spans="1:8" ht="18.95" customHeight="1" thickTop="1" thickBot="1" x14ac:dyDescent="0.25">
      <c r="A22" s="113" t="s">
        <v>1200</v>
      </c>
      <c r="B22" s="39" t="s">
        <v>1201</v>
      </c>
      <c r="C22" s="40" t="s">
        <v>129</v>
      </c>
      <c r="D22" s="40">
        <v>7</v>
      </c>
      <c r="E22" s="114">
        <v>1943</v>
      </c>
      <c r="F22" s="114">
        <v>2195.8000000000002</v>
      </c>
      <c r="G22" s="115">
        <v>2415.6999999999998</v>
      </c>
      <c r="H22" s="37" t="s">
        <v>53</v>
      </c>
    </row>
    <row r="23" spans="1:8" ht="14.25" thickTop="1" thickBot="1" x14ac:dyDescent="0.25">
      <c r="A23" s="113" t="s">
        <v>1202</v>
      </c>
      <c r="B23" s="39" t="s">
        <v>1203</v>
      </c>
      <c r="C23" s="40" t="s">
        <v>129</v>
      </c>
      <c r="D23" s="40">
        <v>50</v>
      </c>
      <c r="E23" s="114">
        <v>214.5</v>
      </c>
      <c r="F23" s="114">
        <v>241.9</v>
      </c>
      <c r="G23" s="115">
        <v>265.7</v>
      </c>
      <c r="H23" s="37" t="s">
        <v>53</v>
      </c>
    </row>
    <row r="24" spans="1:8" ht="14.25" thickTop="1" thickBot="1" x14ac:dyDescent="0.25">
      <c r="A24" s="113" t="s">
        <v>1204</v>
      </c>
      <c r="B24" s="39" t="s">
        <v>1205</v>
      </c>
      <c r="C24" s="40" t="s">
        <v>129</v>
      </c>
      <c r="D24" s="40">
        <v>12</v>
      </c>
      <c r="E24" s="114">
        <v>2590.6999999999998</v>
      </c>
      <c r="F24" s="114">
        <v>2927.8</v>
      </c>
      <c r="G24" s="115">
        <v>3220.1</v>
      </c>
      <c r="H24" s="37" t="s">
        <v>53</v>
      </c>
    </row>
    <row r="25" spans="1:8" ht="14.25" thickTop="1" thickBot="1" x14ac:dyDescent="0.25">
      <c r="A25" s="113" t="s">
        <v>1206</v>
      </c>
      <c r="B25" s="39" t="s">
        <v>1207</v>
      </c>
      <c r="C25" s="40" t="s">
        <v>129</v>
      </c>
      <c r="D25" s="40">
        <v>40</v>
      </c>
      <c r="E25" s="114">
        <v>285</v>
      </c>
      <c r="F25" s="114">
        <v>321.60000000000002</v>
      </c>
      <c r="G25" s="115">
        <v>353.6</v>
      </c>
      <c r="H25" s="37" t="s">
        <v>53</v>
      </c>
    </row>
    <row r="26" spans="1:8" ht="14.25" thickTop="1" thickBot="1" x14ac:dyDescent="0.25">
      <c r="A26" s="113" t="s">
        <v>1208</v>
      </c>
      <c r="B26" s="39" t="s">
        <v>1209</v>
      </c>
      <c r="C26" s="40" t="s">
        <v>129</v>
      </c>
      <c r="D26" s="40">
        <v>12</v>
      </c>
      <c r="E26" s="114">
        <v>3238.5</v>
      </c>
      <c r="F26" s="114">
        <v>3659.8</v>
      </c>
      <c r="G26" s="115">
        <v>4025.4</v>
      </c>
      <c r="H26" s="37" t="s">
        <v>53</v>
      </c>
    </row>
    <row r="27" spans="1:8" ht="14.25" thickTop="1" thickBot="1" x14ac:dyDescent="0.25">
      <c r="A27" s="113" t="s">
        <v>1210</v>
      </c>
      <c r="B27" s="39" t="s">
        <v>1211</v>
      </c>
      <c r="C27" s="40" t="s">
        <v>129</v>
      </c>
      <c r="D27" s="40">
        <v>50</v>
      </c>
      <c r="E27" s="114">
        <v>356.4</v>
      </c>
      <c r="F27" s="114">
        <v>402.2</v>
      </c>
      <c r="G27" s="115">
        <v>442.5</v>
      </c>
      <c r="H27" s="37" t="s">
        <v>53</v>
      </c>
    </row>
    <row r="28" spans="1:8" ht="14.25" thickTop="1" thickBot="1" x14ac:dyDescent="0.25">
      <c r="A28" s="113" t="s">
        <v>1212</v>
      </c>
      <c r="B28" s="39" t="s">
        <v>1213</v>
      </c>
      <c r="C28" s="40" t="s">
        <v>129</v>
      </c>
      <c r="D28" s="40">
        <v>10</v>
      </c>
      <c r="E28" s="114">
        <v>2745.7</v>
      </c>
      <c r="F28" s="114">
        <v>3102.3</v>
      </c>
      <c r="G28" s="115">
        <v>3412.9</v>
      </c>
      <c r="H28" s="37" t="s">
        <v>53</v>
      </c>
    </row>
    <row r="29" spans="1:8" ht="14.25" thickTop="1" thickBot="1" x14ac:dyDescent="0.25">
      <c r="A29" s="113" t="s">
        <v>1214</v>
      </c>
      <c r="B29" s="39" t="s">
        <v>1215</v>
      </c>
      <c r="C29" s="40" t="s">
        <v>129</v>
      </c>
      <c r="D29" s="40">
        <v>5</v>
      </c>
      <c r="E29" s="114">
        <v>3294.8</v>
      </c>
      <c r="F29" s="114">
        <v>3723</v>
      </c>
      <c r="G29" s="115">
        <v>4095.3</v>
      </c>
      <c r="H29" s="37" t="s">
        <v>53</v>
      </c>
    </row>
    <row r="30" spans="1:8" ht="14.25" thickTop="1" thickBot="1" x14ac:dyDescent="0.25">
      <c r="A30" s="113" t="s">
        <v>1216</v>
      </c>
      <c r="B30" s="39" t="s">
        <v>1217</v>
      </c>
      <c r="C30" s="40" t="s">
        <v>129</v>
      </c>
      <c r="D30" s="40">
        <v>4</v>
      </c>
      <c r="E30" s="114">
        <v>5731.9</v>
      </c>
      <c r="F30" s="114">
        <v>6476.7</v>
      </c>
      <c r="G30" s="115">
        <v>8050.6</v>
      </c>
      <c r="H30" s="37" t="s">
        <v>53</v>
      </c>
    </row>
    <row r="31" spans="1:8" ht="14.25" thickTop="1" thickBot="1" x14ac:dyDescent="0.25">
      <c r="A31" s="113" t="s">
        <v>1218</v>
      </c>
      <c r="B31" s="39" t="s">
        <v>1219</v>
      </c>
      <c r="C31" s="40" t="s">
        <v>129</v>
      </c>
      <c r="D31" s="40">
        <v>50</v>
      </c>
      <c r="E31" s="114">
        <v>630.20000000000005</v>
      </c>
      <c r="F31" s="114">
        <v>712.7</v>
      </c>
      <c r="G31" s="115">
        <v>885.8</v>
      </c>
      <c r="H31" s="37" t="s">
        <v>53</v>
      </c>
    </row>
    <row r="32" spans="1:8" ht="14.25" thickTop="1" thickBot="1" x14ac:dyDescent="0.25">
      <c r="A32" s="113" t="s">
        <v>1220</v>
      </c>
      <c r="B32" s="39" t="s">
        <v>1221</v>
      </c>
      <c r="C32" s="40" t="s">
        <v>129</v>
      </c>
      <c r="D32" s="40">
        <v>4</v>
      </c>
      <c r="E32" s="114">
        <v>6304.6</v>
      </c>
      <c r="F32" s="114">
        <v>7125.3</v>
      </c>
      <c r="G32" s="115">
        <v>8855.7999999999993</v>
      </c>
      <c r="H32" s="37" t="s">
        <v>53</v>
      </c>
    </row>
    <row r="33" spans="1:8" ht="14.25" thickTop="1" thickBot="1" x14ac:dyDescent="0.25">
      <c r="A33" s="113" t="s">
        <v>1222</v>
      </c>
      <c r="B33" s="39" t="s">
        <v>1223</v>
      </c>
      <c r="C33" s="40" t="s">
        <v>129</v>
      </c>
      <c r="D33" s="40">
        <v>50</v>
      </c>
      <c r="E33" s="114">
        <v>693.5</v>
      </c>
      <c r="F33" s="114">
        <v>784.2</v>
      </c>
      <c r="G33" s="115">
        <v>974.8</v>
      </c>
      <c r="H33" s="37" t="s">
        <v>53</v>
      </c>
    </row>
    <row r="34" spans="1:8" ht="14.25" thickTop="1" thickBot="1" x14ac:dyDescent="0.25">
      <c r="A34" s="113" t="s">
        <v>1224</v>
      </c>
      <c r="B34" s="39" t="s">
        <v>1225</v>
      </c>
      <c r="C34" s="40" t="s">
        <v>129</v>
      </c>
      <c r="D34" s="40">
        <v>5</v>
      </c>
      <c r="E34" s="114">
        <v>4857.1000000000004</v>
      </c>
      <c r="F34" s="114">
        <v>5489.2</v>
      </c>
      <c r="G34" s="115">
        <v>6038</v>
      </c>
      <c r="H34" s="37" t="s">
        <v>53</v>
      </c>
    </row>
    <row r="35" spans="1:8" ht="14.25" thickTop="1" thickBot="1" x14ac:dyDescent="0.25">
      <c r="A35" s="113" t="s">
        <v>1226</v>
      </c>
      <c r="B35" s="39" t="s">
        <v>1227</v>
      </c>
      <c r="C35" s="40" t="s">
        <v>129</v>
      </c>
      <c r="D35" s="40">
        <v>25</v>
      </c>
      <c r="E35" s="114">
        <v>1069</v>
      </c>
      <c r="F35" s="114">
        <v>1207.4000000000001</v>
      </c>
      <c r="G35" s="115">
        <v>1328.4</v>
      </c>
      <c r="H35" s="37" t="s">
        <v>53</v>
      </c>
    </row>
    <row r="36" spans="1:8" ht="14.25" thickTop="1" thickBot="1" x14ac:dyDescent="0.25">
      <c r="A36" s="116" t="s">
        <v>1228</v>
      </c>
      <c r="B36" s="39" t="s">
        <v>1229</v>
      </c>
      <c r="C36" s="40" t="s">
        <v>129</v>
      </c>
      <c r="D36" s="40">
        <v>2</v>
      </c>
      <c r="E36" s="114">
        <v>8189.8</v>
      </c>
      <c r="F36" s="114">
        <v>9254.6</v>
      </c>
      <c r="G36" s="115">
        <v>10180.299999999999</v>
      </c>
      <c r="H36" s="37" t="s">
        <v>53</v>
      </c>
    </row>
    <row r="37" spans="1:8" ht="14.25" thickTop="1" thickBot="1" x14ac:dyDescent="0.25">
      <c r="A37" s="116" t="s">
        <v>1230</v>
      </c>
      <c r="B37" s="39" t="s">
        <v>1231</v>
      </c>
      <c r="C37" s="40" t="s">
        <v>129</v>
      </c>
      <c r="D37" s="40">
        <v>2</v>
      </c>
      <c r="E37" s="114">
        <v>13004.6</v>
      </c>
      <c r="F37" s="114">
        <v>14729.9</v>
      </c>
      <c r="G37" s="115">
        <v>16208.8</v>
      </c>
      <c r="H37" s="37" t="s">
        <v>53</v>
      </c>
    </row>
    <row r="38" spans="1:8" ht="39.75" thickTop="1" thickBot="1" x14ac:dyDescent="0.25">
      <c r="A38" s="116" t="s">
        <v>1232</v>
      </c>
      <c r="B38" s="44" t="s">
        <v>1233</v>
      </c>
      <c r="C38" s="40" t="s">
        <v>129</v>
      </c>
      <c r="D38" s="40">
        <v>50</v>
      </c>
      <c r="E38" s="114">
        <v>370.4</v>
      </c>
      <c r="F38" s="114">
        <v>407.1</v>
      </c>
      <c r="G38" s="115">
        <v>450.5</v>
      </c>
      <c r="H38" s="37" t="s">
        <v>53</v>
      </c>
    </row>
    <row r="39" spans="1:8" ht="39.75" thickTop="1" thickBot="1" x14ac:dyDescent="0.25">
      <c r="A39" s="116" t="s">
        <v>1234</v>
      </c>
      <c r="B39" s="44" t="s">
        <v>1235</v>
      </c>
      <c r="C39" s="40" t="s">
        <v>129</v>
      </c>
      <c r="D39" s="40">
        <v>50</v>
      </c>
      <c r="E39" s="114">
        <v>335.2</v>
      </c>
      <c r="F39" s="114">
        <v>368.4</v>
      </c>
      <c r="G39" s="115">
        <v>407.6</v>
      </c>
      <c r="H39" s="37" t="s">
        <v>53</v>
      </c>
    </row>
    <row r="40" spans="1:8" ht="14.25" thickTop="1" thickBot="1" x14ac:dyDescent="0.25">
      <c r="A40" s="221" t="s">
        <v>1236</v>
      </c>
      <c r="B40" s="222">
        <v>0</v>
      </c>
      <c r="C40" s="222">
        <v>0</v>
      </c>
      <c r="D40" s="222">
        <v>0</v>
      </c>
      <c r="E40" s="222">
        <v>0</v>
      </c>
      <c r="F40" s="222">
        <v>0</v>
      </c>
      <c r="G40" s="223">
        <v>0</v>
      </c>
      <c r="H40" s="37" t="s">
        <v>44</v>
      </c>
    </row>
    <row r="41" spans="1:8" ht="52.5" thickTop="1" thickBot="1" x14ac:dyDescent="0.25">
      <c r="A41" s="113" t="s">
        <v>1237</v>
      </c>
      <c r="B41" s="39" t="s">
        <v>1238</v>
      </c>
      <c r="C41" s="40" t="s">
        <v>129</v>
      </c>
      <c r="D41" s="40">
        <v>56</v>
      </c>
      <c r="E41" s="114">
        <v>737.5</v>
      </c>
      <c r="F41" s="114">
        <v>811.2</v>
      </c>
      <c r="G41" s="115">
        <v>896.1</v>
      </c>
      <c r="H41" s="37" t="s">
        <v>53</v>
      </c>
    </row>
    <row r="42" spans="1:8" ht="14.25" thickTop="1" thickBot="1" x14ac:dyDescent="0.25">
      <c r="A42" s="221" t="s">
        <v>1239</v>
      </c>
      <c r="B42" s="222">
        <v>0</v>
      </c>
      <c r="C42" s="222">
        <v>0</v>
      </c>
      <c r="D42" s="222">
        <v>0</v>
      </c>
      <c r="E42" s="222">
        <v>0</v>
      </c>
      <c r="F42" s="222">
        <v>0</v>
      </c>
      <c r="G42" s="223">
        <v>0</v>
      </c>
      <c r="H42" s="37" t="s">
        <v>44</v>
      </c>
    </row>
    <row r="43" spans="1:8" ht="14.25" thickTop="1" thickBot="1" x14ac:dyDescent="0.25">
      <c r="A43" s="113" t="s">
        <v>1240</v>
      </c>
      <c r="B43" s="39" t="s">
        <v>1241</v>
      </c>
      <c r="C43" s="40" t="s">
        <v>129</v>
      </c>
      <c r="D43" s="40">
        <v>2000</v>
      </c>
      <c r="E43" s="114">
        <v>48.1</v>
      </c>
      <c r="F43" s="114">
        <v>52.9</v>
      </c>
      <c r="G43" s="115">
        <v>58.5</v>
      </c>
      <c r="H43" s="37" t="s">
        <v>50</v>
      </c>
    </row>
    <row r="44" spans="1:8" ht="27" thickTop="1" thickBot="1" x14ac:dyDescent="0.25">
      <c r="A44" s="113" t="s">
        <v>1242</v>
      </c>
      <c r="B44" s="39" t="s">
        <v>1243</v>
      </c>
      <c r="C44" s="40" t="s">
        <v>129</v>
      </c>
      <c r="D44" s="40">
        <v>50</v>
      </c>
      <c r="E44" s="114">
        <v>480.9</v>
      </c>
      <c r="F44" s="114">
        <v>529.20000000000005</v>
      </c>
      <c r="G44" s="115">
        <v>585.20000000000005</v>
      </c>
      <c r="H44" s="37" t="s">
        <v>53</v>
      </c>
    </row>
    <row r="45" spans="1:8" ht="14.25" thickTop="1" thickBot="1" x14ac:dyDescent="0.25">
      <c r="A45" s="113" t="s">
        <v>1244</v>
      </c>
      <c r="B45" s="39" t="s">
        <v>1245</v>
      </c>
      <c r="C45" s="40" t="s">
        <v>129</v>
      </c>
      <c r="D45" s="40">
        <v>8</v>
      </c>
      <c r="E45" s="114">
        <v>7905.2</v>
      </c>
      <c r="F45" s="114">
        <v>8695.5</v>
      </c>
      <c r="G45" s="115">
        <v>9605.4</v>
      </c>
      <c r="H45" s="37" t="s">
        <v>53</v>
      </c>
    </row>
    <row r="46" spans="1:8" ht="14.25" thickTop="1" thickBot="1" x14ac:dyDescent="0.25">
      <c r="A46" s="113" t="s">
        <v>1246</v>
      </c>
      <c r="B46" s="39" t="s">
        <v>1247</v>
      </c>
      <c r="C46" s="40" t="s">
        <v>129</v>
      </c>
      <c r="D46" s="40">
        <v>1500</v>
      </c>
      <c r="E46" s="114">
        <v>51.3</v>
      </c>
      <c r="F46" s="114">
        <v>56.1</v>
      </c>
      <c r="G46" s="115">
        <v>62.6</v>
      </c>
      <c r="H46" s="37" t="s">
        <v>53</v>
      </c>
    </row>
    <row r="47" spans="1:8" ht="27" thickTop="1" thickBot="1" x14ac:dyDescent="0.25">
      <c r="A47" s="113" t="s">
        <v>1248</v>
      </c>
      <c r="B47" s="39" t="s">
        <v>1249</v>
      </c>
      <c r="C47" s="40" t="s">
        <v>129</v>
      </c>
      <c r="D47" s="40">
        <v>25</v>
      </c>
      <c r="E47" s="114">
        <v>513.1</v>
      </c>
      <c r="F47" s="114">
        <v>561.4</v>
      </c>
      <c r="G47" s="115">
        <v>625.79999999999995</v>
      </c>
      <c r="H47" s="37" t="s">
        <v>53</v>
      </c>
    </row>
    <row r="48" spans="1:8" ht="14.25" thickTop="1" thickBot="1" x14ac:dyDescent="0.25">
      <c r="A48" s="113" t="s">
        <v>1250</v>
      </c>
      <c r="B48" s="39" t="s">
        <v>1251</v>
      </c>
      <c r="C48" s="40" t="s">
        <v>129</v>
      </c>
      <c r="D48" s="40">
        <v>10</v>
      </c>
      <c r="E48" s="114">
        <v>4192.2</v>
      </c>
      <c r="F48" s="114">
        <v>4611.5</v>
      </c>
      <c r="G48" s="115">
        <v>5090.1000000000004</v>
      </c>
      <c r="H48" s="37" t="s">
        <v>53</v>
      </c>
    </row>
    <row r="49" spans="1:8" ht="14.25" thickTop="1" thickBot="1" x14ac:dyDescent="0.25">
      <c r="A49" s="113" t="s">
        <v>1252</v>
      </c>
      <c r="B49" s="39" t="s">
        <v>1253</v>
      </c>
      <c r="C49" s="40" t="s">
        <v>129</v>
      </c>
      <c r="D49" s="40">
        <v>750</v>
      </c>
      <c r="E49" s="114">
        <v>52.9</v>
      </c>
      <c r="F49" s="114">
        <v>57.8</v>
      </c>
      <c r="G49" s="115">
        <v>64.2</v>
      </c>
      <c r="H49" s="37" t="s">
        <v>53</v>
      </c>
    </row>
    <row r="50" spans="1:8" ht="27" thickTop="1" thickBot="1" x14ac:dyDescent="0.25">
      <c r="A50" s="113" t="s">
        <v>1254</v>
      </c>
      <c r="B50" s="39" t="s">
        <v>1255</v>
      </c>
      <c r="C50" s="40" t="s">
        <v>129</v>
      </c>
      <c r="D50" s="40">
        <v>25</v>
      </c>
      <c r="E50" s="114">
        <v>529.20000000000005</v>
      </c>
      <c r="F50" s="114">
        <v>577.5</v>
      </c>
      <c r="G50" s="115">
        <v>641.9</v>
      </c>
      <c r="H50" s="37" t="s">
        <v>53</v>
      </c>
    </row>
    <row r="51" spans="1:8" ht="14.25" thickTop="1" thickBot="1" x14ac:dyDescent="0.25">
      <c r="A51" s="113" t="s">
        <v>1256</v>
      </c>
      <c r="B51" s="39" t="s">
        <v>1257</v>
      </c>
      <c r="C51" s="40" t="s">
        <v>129</v>
      </c>
      <c r="D51" s="40">
        <v>5</v>
      </c>
      <c r="E51" s="114">
        <v>4311.7</v>
      </c>
      <c r="F51" s="114">
        <v>4743</v>
      </c>
      <c r="G51" s="115">
        <v>5245.5</v>
      </c>
      <c r="H51" s="37" t="s">
        <v>53</v>
      </c>
    </row>
    <row r="52" spans="1:8" ht="14.25" thickTop="1" thickBot="1" x14ac:dyDescent="0.25">
      <c r="A52" s="113" t="s">
        <v>1258</v>
      </c>
      <c r="B52" s="39" t="s">
        <v>1259</v>
      </c>
      <c r="C52" s="40" t="s">
        <v>129</v>
      </c>
      <c r="D52" s="40">
        <v>5</v>
      </c>
      <c r="E52" s="114">
        <v>4311.7</v>
      </c>
      <c r="F52" s="114">
        <v>4743</v>
      </c>
      <c r="G52" s="115">
        <v>5245.5</v>
      </c>
      <c r="H52" s="37" t="s">
        <v>53</v>
      </c>
    </row>
    <row r="53" spans="1:8" ht="14.25" thickTop="1" thickBot="1" x14ac:dyDescent="0.25">
      <c r="A53" s="113" t="s">
        <v>1260</v>
      </c>
      <c r="B53" s="39" t="s">
        <v>1261</v>
      </c>
      <c r="C53" s="40" t="s">
        <v>129</v>
      </c>
      <c r="D53" s="40">
        <v>500</v>
      </c>
      <c r="E53" s="114">
        <v>55.2</v>
      </c>
      <c r="F53" s="114">
        <v>60.9</v>
      </c>
      <c r="G53" s="115">
        <v>67.400000000000006</v>
      </c>
      <c r="H53" s="37" t="s">
        <v>53</v>
      </c>
    </row>
    <row r="54" spans="1:8" ht="27" thickTop="1" thickBot="1" x14ac:dyDescent="0.25">
      <c r="A54" s="113" t="s">
        <v>1262</v>
      </c>
      <c r="B54" s="39" t="s">
        <v>1263</v>
      </c>
      <c r="C54" s="40" t="s">
        <v>129</v>
      </c>
      <c r="D54" s="40">
        <v>20</v>
      </c>
      <c r="E54" s="114">
        <v>552.29999999999995</v>
      </c>
      <c r="F54" s="114">
        <v>609</v>
      </c>
      <c r="G54" s="115">
        <v>674.1</v>
      </c>
      <c r="H54" s="37" t="s">
        <v>53</v>
      </c>
    </row>
    <row r="55" spans="1:8" ht="14.25" thickTop="1" thickBot="1" x14ac:dyDescent="0.25">
      <c r="A55" s="113" t="s">
        <v>1264</v>
      </c>
      <c r="B55" s="39" t="s">
        <v>1265</v>
      </c>
      <c r="C55" s="40" t="s">
        <v>129</v>
      </c>
      <c r="D55" s="40">
        <v>325</v>
      </c>
      <c r="E55" s="114">
        <v>64.2</v>
      </c>
      <c r="F55" s="114">
        <v>70.599999999999994</v>
      </c>
      <c r="G55" s="115">
        <v>78.599999999999994</v>
      </c>
      <c r="H55" s="37" t="s">
        <v>53</v>
      </c>
    </row>
    <row r="56" spans="1:8" ht="27" thickTop="1" thickBot="1" x14ac:dyDescent="0.25">
      <c r="A56" s="113" t="s">
        <v>1266</v>
      </c>
      <c r="B56" s="39" t="s">
        <v>1267</v>
      </c>
      <c r="C56" s="40" t="s">
        <v>129</v>
      </c>
      <c r="D56" s="40">
        <v>10</v>
      </c>
      <c r="E56" s="114">
        <v>641.9</v>
      </c>
      <c r="F56" s="114">
        <v>705.6</v>
      </c>
      <c r="G56" s="115">
        <v>786.1</v>
      </c>
      <c r="H56" s="37" t="s">
        <v>53</v>
      </c>
    </row>
    <row r="57" spans="1:8" ht="14.25" thickTop="1" thickBot="1" x14ac:dyDescent="0.25">
      <c r="A57" s="117" t="s">
        <v>1268</v>
      </c>
      <c r="B57" s="39" t="s">
        <v>1269</v>
      </c>
      <c r="C57" s="40" t="s">
        <v>129</v>
      </c>
      <c r="D57" s="40">
        <v>400</v>
      </c>
      <c r="E57" s="114">
        <v>113.8</v>
      </c>
      <c r="F57" s="114">
        <v>125</v>
      </c>
      <c r="G57" s="115">
        <v>137.9</v>
      </c>
      <c r="H57" s="37" t="s">
        <v>53</v>
      </c>
    </row>
    <row r="58" spans="1:8" ht="27" thickTop="1" thickBot="1" x14ac:dyDescent="0.25">
      <c r="A58" s="113" t="s">
        <v>1270</v>
      </c>
      <c r="B58" s="39" t="s">
        <v>1271</v>
      </c>
      <c r="C58" s="40" t="s">
        <v>129</v>
      </c>
      <c r="D58" s="40">
        <v>10</v>
      </c>
      <c r="E58" s="114">
        <v>1138.2</v>
      </c>
      <c r="F58" s="114">
        <v>1250.2</v>
      </c>
      <c r="G58" s="115">
        <v>1379</v>
      </c>
      <c r="H58" s="37" t="s">
        <v>53</v>
      </c>
    </row>
    <row r="59" spans="1:8" ht="14.25" thickTop="1" thickBot="1" x14ac:dyDescent="0.25">
      <c r="A59" s="117" t="s">
        <v>1272</v>
      </c>
      <c r="B59" s="39" t="s">
        <v>1273</v>
      </c>
      <c r="C59" s="40" t="s">
        <v>129</v>
      </c>
      <c r="D59" s="40">
        <v>300</v>
      </c>
      <c r="E59" s="114">
        <v>133</v>
      </c>
      <c r="F59" s="114">
        <v>145.9</v>
      </c>
      <c r="G59" s="115">
        <v>161.9</v>
      </c>
      <c r="H59" s="37" t="s">
        <v>53</v>
      </c>
    </row>
    <row r="60" spans="1:8" ht="27" thickTop="1" thickBot="1" x14ac:dyDescent="0.25">
      <c r="A60" s="117" t="s">
        <v>1274</v>
      </c>
      <c r="B60" s="39" t="s">
        <v>1275</v>
      </c>
      <c r="C60" s="40" t="s">
        <v>129</v>
      </c>
      <c r="D60" s="40">
        <v>10</v>
      </c>
      <c r="E60" s="114">
        <v>1330</v>
      </c>
      <c r="F60" s="114">
        <v>1458.8</v>
      </c>
      <c r="G60" s="115">
        <v>1619.1</v>
      </c>
      <c r="H60" s="37" t="s">
        <v>53</v>
      </c>
    </row>
    <row r="61" spans="1:8" ht="14.25" thickTop="1" thickBot="1" x14ac:dyDescent="0.25">
      <c r="A61" s="117" t="s">
        <v>1276</v>
      </c>
      <c r="B61" s="39" t="s">
        <v>1277</v>
      </c>
      <c r="C61" s="40" t="s">
        <v>129</v>
      </c>
      <c r="D61" s="40">
        <v>300</v>
      </c>
      <c r="E61" s="114">
        <v>161.1</v>
      </c>
      <c r="F61" s="114">
        <v>177.2</v>
      </c>
      <c r="G61" s="115">
        <v>195.7</v>
      </c>
      <c r="H61" s="37" t="s">
        <v>53</v>
      </c>
    </row>
    <row r="62" spans="1:8" ht="27" thickTop="1" thickBot="1" x14ac:dyDescent="0.25">
      <c r="A62" s="117" t="s">
        <v>1278</v>
      </c>
      <c r="B62" s="39" t="s">
        <v>1279</v>
      </c>
      <c r="C62" s="40" t="s">
        <v>129</v>
      </c>
      <c r="D62" s="40">
        <v>5</v>
      </c>
      <c r="E62" s="114">
        <v>1611.4</v>
      </c>
      <c r="F62" s="114">
        <v>1771.7</v>
      </c>
      <c r="G62" s="115">
        <v>1956.5</v>
      </c>
      <c r="H62" s="37" t="s">
        <v>53</v>
      </c>
    </row>
    <row r="63" spans="1:8" ht="14.25" thickTop="1" thickBot="1" x14ac:dyDescent="0.25">
      <c r="A63" s="117" t="s">
        <v>1280</v>
      </c>
      <c r="B63" s="39" t="s">
        <v>1281</v>
      </c>
      <c r="C63" s="40" t="s">
        <v>129</v>
      </c>
      <c r="D63" s="40">
        <v>200</v>
      </c>
      <c r="E63" s="114">
        <v>236.5</v>
      </c>
      <c r="F63" s="114">
        <v>260.5</v>
      </c>
      <c r="G63" s="115">
        <v>287.8</v>
      </c>
      <c r="H63" s="37" t="s">
        <v>53</v>
      </c>
    </row>
    <row r="64" spans="1:8" ht="39.75" thickTop="1" thickBot="1" x14ac:dyDescent="0.25">
      <c r="A64" s="113" t="s">
        <v>1282</v>
      </c>
      <c r="B64" s="39" t="s">
        <v>1283</v>
      </c>
      <c r="C64" s="40" t="s">
        <v>129</v>
      </c>
      <c r="D64" s="40">
        <v>50</v>
      </c>
      <c r="E64" s="114">
        <v>717.4</v>
      </c>
      <c r="F64" s="114">
        <v>789.6</v>
      </c>
      <c r="G64" s="115">
        <v>869.8</v>
      </c>
      <c r="H64" s="37" t="s">
        <v>53</v>
      </c>
    </row>
    <row r="65" spans="1:8" ht="14.25" thickTop="1" thickBot="1" x14ac:dyDescent="0.25">
      <c r="A65" s="221" t="s">
        <v>1284</v>
      </c>
      <c r="B65" s="222">
        <v>0</v>
      </c>
      <c r="C65" s="222">
        <v>0</v>
      </c>
      <c r="D65" s="222">
        <v>0</v>
      </c>
      <c r="E65" s="222">
        <v>0</v>
      </c>
      <c r="F65" s="222">
        <v>0</v>
      </c>
      <c r="G65" s="223">
        <v>0</v>
      </c>
      <c r="H65" s="37" t="s">
        <v>44</v>
      </c>
    </row>
    <row r="66" spans="1:8" ht="14.25" thickTop="1" thickBot="1" x14ac:dyDescent="0.25">
      <c r="A66" s="38" t="s">
        <v>1285</v>
      </c>
      <c r="B66" s="39" t="s">
        <v>1286</v>
      </c>
      <c r="C66" s="40" t="s">
        <v>129</v>
      </c>
      <c r="D66" s="40">
        <v>1000</v>
      </c>
      <c r="E66" s="41">
        <v>452.5</v>
      </c>
      <c r="F66" s="41">
        <v>497</v>
      </c>
      <c r="G66" s="42">
        <v>549.70000000000005</v>
      </c>
      <c r="H66" s="37" t="s">
        <v>53</v>
      </c>
    </row>
    <row r="67" spans="1:8" ht="14.25" thickTop="1" thickBot="1" x14ac:dyDescent="0.25">
      <c r="A67" s="38" t="s">
        <v>1287</v>
      </c>
      <c r="B67" s="39" t="s">
        <v>1288</v>
      </c>
      <c r="C67" s="40" t="s">
        <v>129</v>
      </c>
      <c r="D67" s="40">
        <v>1000</v>
      </c>
      <c r="E67" s="41">
        <v>511.8</v>
      </c>
      <c r="F67" s="41">
        <v>563.4</v>
      </c>
      <c r="G67" s="42">
        <v>622.9</v>
      </c>
      <c r="H67" s="37" t="s">
        <v>53</v>
      </c>
    </row>
    <row r="68" spans="1:8" ht="14.25" thickTop="1" thickBot="1" x14ac:dyDescent="0.25">
      <c r="A68" s="38" t="s">
        <v>1289</v>
      </c>
      <c r="B68" s="39" t="s">
        <v>1290</v>
      </c>
      <c r="C68" s="40" t="s">
        <v>129</v>
      </c>
      <c r="D68" s="40">
        <v>500</v>
      </c>
      <c r="E68" s="41">
        <v>560</v>
      </c>
      <c r="F68" s="41">
        <v>616</v>
      </c>
      <c r="G68" s="42">
        <v>680.2</v>
      </c>
      <c r="H68" s="37" t="s">
        <v>53</v>
      </c>
    </row>
    <row r="69" spans="1:8" ht="14.25" thickTop="1" thickBot="1" x14ac:dyDescent="0.25">
      <c r="A69" s="49" t="s">
        <v>1291</v>
      </c>
      <c r="B69" s="50" t="s">
        <v>1292</v>
      </c>
      <c r="C69" s="51" t="s">
        <v>129</v>
      </c>
      <c r="D69" s="51">
        <v>200</v>
      </c>
      <c r="E69" s="52">
        <v>679.1</v>
      </c>
      <c r="F69" s="52">
        <v>746.6</v>
      </c>
      <c r="G69" s="53">
        <v>825.7</v>
      </c>
      <c r="H69" s="54" t="s">
        <v>53</v>
      </c>
    </row>
    <row r="70" spans="1:8" ht="13.5" thickTop="1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  <row r="72" spans="1:8" x14ac:dyDescent="0.2">
      <c r="A72" s="55"/>
      <c r="B72" s="56"/>
      <c r="C72" s="57"/>
      <c r="D72" s="57"/>
      <c r="E72" s="58"/>
      <c r="F72" s="58"/>
      <c r="G72" s="58"/>
      <c r="H72" s="59"/>
    </row>
    <row r="73" spans="1:8" x14ac:dyDescent="0.2">
      <c r="A73" s="55"/>
      <c r="B73" s="56"/>
      <c r="C73" s="57"/>
      <c r="D73" s="57"/>
      <c r="E73" s="58"/>
      <c r="F73" s="58"/>
      <c r="G73" s="58"/>
      <c r="H73" s="59"/>
    </row>
    <row r="74" spans="1:8" x14ac:dyDescent="0.2">
      <c r="A74" s="55"/>
      <c r="B74" s="56"/>
      <c r="C74" s="57"/>
      <c r="D74" s="57"/>
      <c r="E74" s="58"/>
      <c r="F74" s="58"/>
      <c r="G74" s="58"/>
      <c r="H74" s="59"/>
    </row>
    <row r="75" spans="1:8" x14ac:dyDescent="0.2">
      <c r="A75" s="55"/>
      <c r="B75" s="56"/>
      <c r="C75" s="57"/>
      <c r="D75" s="57"/>
      <c r="E75" s="58"/>
      <c r="F75" s="58"/>
      <c r="G75" s="58"/>
      <c r="H75" s="59"/>
    </row>
    <row r="76" spans="1:8" x14ac:dyDescent="0.2">
      <c r="A76" s="55"/>
      <c r="B76" s="56"/>
      <c r="C76" s="57"/>
      <c r="D76" s="57"/>
      <c r="E76" s="58"/>
      <c r="F76" s="58"/>
      <c r="G76" s="58"/>
      <c r="H76" s="59"/>
    </row>
    <row r="77" spans="1:8" x14ac:dyDescent="0.2">
      <c r="A77" s="55"/>
      <c r="B77" s="56"/>
      <c r="C77" s="57"/>
      <c r="D77" s="57"/>
      <c r="E77" s="58"/>
      <c r="F77" s="58"/>
      <c r="G77" s="58"/>
      <c r="H77" s="59"/>
    </row>
    <row r="78" spans="1:8" x14ac:dyDescent="0.2">
      <c r="A78" s="55"/>
      <c r="B78" s="56"/>
      <c r="C78" s="57"/>
      <c r="D78" s="57"/>
      <c r="E78" s="58"/>
      <c r="F78" s="58"/>
      <c r="G78" s="58"/>
      <c r="H78" s="59"/>
    </row>
    <row r="79" spans="1:8" x14ac:dyDescent="0.2">
      <c r="A79" s="55"/>
      <c r="B79" s="56"/>
      <c r="C79" s="57"/>
      <c r="D79" s="57"/>
      <c r="E79" s="58"/>
      <c r="F79" s="58"/>
      <c r="G79" s="58"/>
      <c r="H79" s="59"/>
    </row>
    <row r="80" spans="1:8" x14ac:dyDescent="0.2">
      <c r="A80" s="55"/>
      <c r="B80" s="56"/>
      <c r="C80" s="57"/>
      <c r="D80" s="57"/>
      <c r="E80" s="58"/>
      <c r="F80" s="58"/>
      <c r="G80" s="58"/>
      <c r="H80" s="59"/>
    </row>
    <row r="81" spans="1:8" x14ac:dyDescent="0.2">
      <c r="A81" s="55"/>
      <c r="B81" s="56"/>
      <c r="C81" s="57"/>
      <c r="D81" s="57"/>
      <c r="E81" s="58"/>
      <c r="F81" s="58"/>
      <c r="G81" s="58"/>
      <c r="H81" s="59"/>
    </row>
    <row r="82" spans="1:8" x14ac:dyDescent="0.2">
      <c r="A82" s="55"/>
      <c r="B82" s="56"/>
      <c r="C82" s="57"/>
      <c r="D82" s="57"/>
      <c r="E82" s="58"/>
      <c r="F82" s="58"/>
      <c r="G82" s="58"/>
      <c r="H82" s="59"/>
    </row>
    <row r="83" spans="1:8" x14ac:dyDescent="0.2">
      <c r="A83" s="55"/>
      <c r="B83" s="56"/>
      <c r="C83" s="57"/>
      <c r="D83" s="57"/>
      <c r="E83" s="58"/>
      <c r="F83" s="58"/>
      <c r="G83" s="58"/>
      <c r="H83" s="59"/>
    </row>
    <row r="84" spans="1:8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  <row r="87" spans="1:8" x14ac:dyDescent="0.2">
      <c r="A87" s="55"/>
      <c r="B87" s="56"/>
      <c r="C87" s="57"/>
      <c r="D87" s="57"/>
      <c r="E87" s="58"/>
      <c r="F87" s="58"/>
      <c r="G87" s="58"/>
      <c r="H87" s="59"/>
    </row>
    <row r="88" spans="1:8" x14ac:dyDescent="0.2">
      <c r="A88" s="55"/>
      <c r="B88" s="56"/>
      <c r="C88" s="57"/>
      <c r="D88" s="57"/>
      <c r="E88" s="58"/>
      <c r="F88" s="58"/>
      <c r="G88" s="58"/>
      <c r="H88" s="59"/>
    </row>
    <row r="89" spans="1:8" x14ac:dyDescent="0.2">
      <c r="A89" s="55"/>
      <c r="B89" s="56"/>
      <c r="C89" s="57"/>
      <c r="D89" s="57"/>
      <c r="E89" s="58"/>
      <c r="F89" s="58"/>
      <c r="G89" s="58"/>
      <c r="H89" s="59"/>
    </row>
    <row r="90" spans="1:8" x14ac:dyDescent="0.2">
      <c r="A90" s="55"/>
      <c r="B90" s="56"/>
      <c r="C90" s="57"/>
      <c r="D90" s="57"/>
      <c r="E90" s="58"/>
      <c r="F90" s="58"/>
      <c r="G90" s="58"/>
      <c r="H90" s="59"/>
    </row>
    <row r="91" spans="1:8" x14ac:dyDescent="0.2">
      <c r="A91" s="55"/>
      <c r="B91" s="56"/>
      <c r="C91" s="57"/>
      <c r="D91" s="57"/>
      <c r="E91" s="58"/>
      <c r="F91" s="58"/>
      <c r="G91" s="58"/>
      <c r="H91" s="59"/>
    </row>
    <row r="92" spans="1:8" x14ac:dyDescent="0.2">
      <c r="A92" s="55"/>
      <c r="B92" s="56"/>
      <c r="C92" s="57"/>
      <c r="D92" s="57"/>
      <c r="E92" s="58"/>
      <c r="F92" s="58"/>
      <c r="G92" s="58"/>
      <c r="H92" s="59"/>
    </row>
    <row r="93" spans="1:8" x14ac:dyDescent="0.2">
      <c r="A93" s="55"/>
      <c r="B93" s="56"/>
      <c r="C93" s="57"/>
      <c r="D93" s="57"/>
      <c r="E93" s="58"/>
      <c r="F93" s="58"/>
      <c r="G93" s="58"/>
      <c r="H93" s="59"/>
    </row>
    <row r="94" spans="1:8" x14ac:dyDescent="0.2">
      <c r="A94" s="55"/>
      <c r="B94" s="56"/>
      <c r="C94" s="57"/>
      <c r="D94" s="57"/>
      <c r="E94" s="58"/>
      <c r="F94" s="58"/>
      <c r="G94" s="58"/>
      <c r="H94" s="59"/>
    </row>
    <row r="95" spans="1:8" x14ac:dyDescent="0.2">
      <c r="A95" s="55"/>
      <c r="B95" s="56"/>
      <c r="C95" s="57"/>
      <c r="D95" s="57"/>
      <c r="E95" s="58"/>
      <c r="F95" s="58"/>
      <c r="G95" s="58"/>
      <c r="H95" s="59"/>
    </row>
    <row r="96" spans="1:8" x14ac:dyDescent="0.2">
      <c r="A96" s="55"/>
      <c r="B96" s="56"/>
      <c r="C96" s="57"/>
      <c r="D96" s="57"/>
      <c r="E96" s="58"/>
      <c r="F96" s="58"/>
      <c r="G96" s="58"/>
      <c r="H96" s="59"/>
    </row>
    <row r="97" spans="1:8" x14ac:dyDescent="0.2">
      <c r="A97" s="55"/>
      <c r="B97" s="56"/>
      <c r="C97" s="57"/>
      <c r="D97" s="57"/>
      <c r="E97" s="58"/>
      <c r="F97" s="58"/>
      <c r="G97" s="58"/>
      <c r="H97" s="59"/>
    </row>
    <row r="98" spans="1:8" x14ac:dyDescent="0.2">
      <c r="A98" s="55"/>
      <c r="B98" s="56"/>
      <c r="C98" s="57"/>
      <c r="D98" s="57"/>
      <c r="E98" s="58"/>
      <c r="F98" s="58"/>
      <c r="G98" s="58"/>
      <c r="H98" s="59"/>
    </row>
    <row r="99" spans="1:8" x14ac:dyDescent="0.2">
      <c r="A99" s="55"/>
      <c r="B99" s="56"/>
      <c r="C99" s="57"/>
      <c r="D99" s="57"/>
      <c r="E99" s="58"/>
      <c r="F99" s="58"/>
      <c r="G99" s="58"/>
      <c r="H99" s="59"/>
    </row>
    <row r="100" spans="1:8" x14ac:dyDescent="0.2">
      <c r="A100" s="55"/>
      <c r="B100" s="56"/>
      <c r="C100" s="57"/>
      <c r="D100" s="57"/>
      <c r="E100" s="58"/>
      <c r="F100" s="58"/>
      <c r="G100" s="58"/>
      <c r="H100" s="59"/>
    </row>
    <row r="101" spans="1:8" x14ac:dyDescent="0.2">
      <c r="A101" s="55"/>
      <c r="B101" s="56"/>
      <c r="C101" s="57"/>
      <c r="D101" s="57"/>
      <c r="E101" s="58"/>
      <c r="F101" s="58"/>
      <c r="G101" s="58"/>
      <c r="H101" s="59"/>
    </row>
    <row r="102" spans="1:8" x14ac:dyDescent="0.2">
      <c r="A102" s="55"/>
      <c r="B102" s="56"/>
      <c r="C102" s="57"/>
      <c r="D102" s="57"/>
      <c r="E102" s="58"/>
      <c r="F102" s="58"/>
      <c r="G102" s="58"/>
      <c r="H102" s="59"/>
    </row>
    <row r="103" spans="1:8" x14ac:dyDescent="0.2">
      <c r="A103" s="55"/>
      <c r="B103" s="56"/>
      <c r="C103" s="57"/>
      <c r="D103" s="57"/>
      <c r="E103" s="58"/>
      <c r="F103" s="58"/>
      <c r="G103" s="58"/>
      <c r="H103" s="59"/>
    </row>
    <row r="104" spans="1:8" x14ac:dyDescent="0.2">
      <c r="A104" s="55"/>
      <c r="B104" s="56"/>
      <c r="C104" s="57"/>
      <c r="D104" s="57"/>
      <c r="E104" s="58"/>
      <c r="F104" s="58"/>
      <c r="G104" s="58"/>
      <c r="H104" s="59"/>
    </row>
    <row r="105" spans="1:8" x14ac:dyDescent="0.2">
      <c r="A105" s="55"/>
      <c r="B105" s="56"/>
      <c r="C105" s="57"/>
      <c r="D105" s="57"/>
      <c r="E105" s="58"/>
      <c r="F105" s="58"/>
      <c r="G105" s="58"/>
      <c r="H105" s="59"/>
    </row>
    <row r="106" spans="1:8" x14ac:dyDescent="0.2">
      <c r="A106" s="55"/>
      <c r="B106" s="56"/>
      <c r="C106" s="57"/>
      <c r="D106" s="57"/>
      <c r="E106" s="58"/>
      <c r="F106" s="58"/>
      <c r="G106" s="58"/>
      <c r="H106" s="59"/>
    </row>
    <row r="107" spans="1:8" x14ac:dyDescent="0.2">
      <c r="A107" s="55"/>
      <c r="B107" s="56"/>
      <c r="C107" s="57"/>
      <c r="D107" s="57"/>
      <c r="E107" s="58"/>
      <c r="F107" s="58"/>
      <c r="G107" s="58"/>
      <c r="H107" s="59"/>
    </row>
    <row r="108" spans="1:8" x14ac:dyDescent="0.2">
      <c r="A108" s="55"/>
      <c r="B108" s="56"/>
      <c r="C108" s="57"/>
      <c r="D108" s="57"/>
      <c r="E108" s="58"/>
      <c r="F108" s="58"/>
      <c r="G108" s="58"/>
      <c r="H108" s="59"/>
    </row>
    <row r="109" spans="1:8" x14ac:dyDescent="0.2">
      <c r="A109" s="55"/>
      <c r="B109" s="56"/>
      <c r="C109" s="57"/>
      <c r="D109" s="57"/>
      <c r="E109" s="58"/>
      <c r="F109" s="58"/>
      <c r="G109" s="58"/>
      <c r="H109" s="59"/>
    </row>
    <row r="110" spans="1:8" x14ac:dyDescent="0.2">
      <c r="A110" s="55"/>
      <c r="B110" s="56"/>
      <c r="C110" s="57"/>
      <c r="D110" s="57"/>
      <c r="E110" s="58"/>
      <c r="F110" s="58"/>
      <c r="G110" s="58"/>
      <c r="H110" s="59"/>
    </row>
    <row r="111" spans="1:8" x14ac:dyDescent="0.2">
      <c r="A111" s="55"/>
      <c r="B111" s="56"/>
      <c r="C111" s="57"/>
      <c r="D111" s="57"/>
      <c r="E111" s="58"/>
      <c r="F111" s="58"/>
      <c r="G111" s="58"/>
      <c r="H111" s="59"/>
    </row>
    <row r="112" spans="1:8" x14ac:dyDescent="0.2">
      <c r="A112" s="55"/>
      <c r="B112" s="56"/>
      <c r="C112" s="57"/>
      <c r="D112" s="57"/>
      <c r="E112" s="58"/>
      <c r="F112" s="58"/>
      <c r="G112" s="58"/>
      <c r="H112" s="59"/>
    </row>
    <row r="113" spans="1:8" x14ac:dyDescent="0.2">
      <c r="A113" s="55"/>
      <c r="B113" s="56"/>
      <c r="C113" s="57"/>
      <c r="D113" s="57"/>
      <c r="E113" s="58"/>
      <c r="F113" s="58"/>
      <c r="G113" s="58"/>
      <c r="H113" s="59"/>
    </row>
    <row r="114" spans="1:8" x14ac:dyDescent="0.2">
      <c r="A114" s="55"/>
      <c r="B114" s="56"/>
      <c r="C114" s="57"/>
      <c r="D114" s="57"/>
      <c r="E114" s="58"/>
      <c r="F114" s="58"/>
      <c r="G114" s="58"/>
      <c r="H114" s="59"/>
    </row>
  </sheetData>
  <mergeCells count="13">
    <mergeCell ref="A1:B1"/>
    <mergeCell ref="A2:A3"/>
    <mergeCell ref="B2:B3"/>
    <mergeCell ref="C2:C3"/>
    <mergeCell ref="D2:D3"/>
    <mergeCell ref="A65:G65"/>
    <mergeCell ref="G2:G3"/>
    <mergeCell ref="H2:H3"/>
    <mergeCell ref="A7:G7"/>
    <mergeCell ref="A8:G8"/>
    <mergeCell ref="A40:G40"/>
    <mergeCell ref="A42:G42"/>
    <mergeCell ref="E2:F2"/>
  </mergeCells>
  <phoneticPr fontId="0" type="noConversion"/>
  <conditionalFormatting sqref="D55:D56">
    <cfRule type="cellIs" dxfId="73" priority="21" stopIfTrue="1" operator="equal">
      <formula>0</formula>
    </cfRule>
  </conditionalFormatting>
  <conditionalFormatting sqref="D59:D60">
    <cfRule type="cellIs" dxfId="72" priority="20" stopIfTrue="1" operator="equal">
      <formula>0</formula>
    </cfRule>
  </conditionalFormatting>
  <conditionalFormatting sqref="D61:D62">
    <cfRule type="cellIs" dxfId="71" priority="19" stopIfTrue="1" operator="equal">
      <formula>0</formula>
    </cfRule>
  </conditionalFormatting>
  <conditionalFormatting sqref="D63">
    <cfRule type="cellIs" dxfId="70" priority="18" stopIfTrue="1" operator="equal">
      <formula>0</formula>
    </cfRule>
  </conditionalFormatting>
  <conditionalFormatting sqref="D49:D50">
    <cfRule type="cellIs" dxfId="69" priority="17" stopIfTrue="1" operator="equal">
      <formula>0</formula>
    </cfRule>
  </conditionalFormatting>
  <conditionalFormatting sqref="D36:D38">
    <cfRule type="cellIs" dxfId="68" priority="16" stopIfTrue="1" operator="equal">
      <formula>0</formula>
    </cfRule>
  </conditionalFormatting>
  <conditionalFormatting sqref="C45:D45">
    <cfRule type="cellIs" dxfId="67" priority="15" stopIfTrue="1" operator="equal">
      <formula>0</formula>
    </cfRule>
  </conditionalFormatting>
  <conditionalFormatting sqref="D52">
    <cfRule type="cellIs" dxfId="66" priority="14" stopIfTrue="1" operator="equal">
      <formula>0</formula>
    </cfRule>
  </conditionalFormatting>
  <conditionalFormatting sqref="C32:D32">
    <cfRule type="cellIs" dxfId="65" priority="13" stopIfTrue="1" operator="equal">
      <formula>0</formula>
    </cfRule>
  </conditionalFormatting>
  <conditionalFormatting sqref="C64:D64">
    <cfRule type="cellIs" dxfId="64" priority="12" stopIfTrue="1" operator="equal">
      <formula>0</formula>
    </cfRule>
  </conditionalFormatting>
  <conditionalFormatting sqref="C67:D69 C66">
    <cfRule type="cellIs" dxfId="63" priority="11" stopIfTrue="1" operator="equal">
      <formula>0</formula>
    </cfRule>
  </conditionalFormatting>
  <conditionalFormatting sqref="D66">
    <cfRule type="cellIs" dxfId="62" priority="10" stopIfTrue="1" operator="equal">
      <formula>0</formula>
    </cfRule>
  </conditionalFormatting>
  <conditionalFormatting sqref="C31:D31">
    <cfRule type="cellIs" dxfId="61" priority="9" stopIfTrue="1" operator="equal">
      <formula>0</formula>
    </cfRule>
  </conditionalFormatting>
  <conditionalFormatting sqref="C8:D8">
    <cfRule type="cellIs" dxfId="60" priority="7" stopIfTrue="1" operator="equal">
      <formula>0</formula>
    </cfRule>
  </conditionalFormatting>
  <conditionalFormatting sqref="C40:D40">
    <cfRule type="cellIs" dxfId="59" priority="6" stopIfTrue="1" operator="equal">
      <formula>0</formula>
    </cfRule>
  </conditionalFormatting>
  <conditionalFormatting sqref="C42:D42">
    <cfRule type="cellIs" dxfId="58" priority="5" stopIfTrue="1" operator="equal">
      <formula>0</formula>
    </cfRule>
  </conditionalFormatting>
  <conditionalFormatting sqref="C65:D65">
    <cfRule type="cellIs" dxfId="57" priority="4" stopIfTrue="1" operator="equal">
      <formula>0</formula>
    </cfRule>
  </conditionalFormatting>
  <conditionalFormatting sqref="C39">
    <cfRule type="cellIs" dxfId="56" priority="3" stopIfTrue="1" operator="equal">
      <formula>0</formula>
    </cfRule>
  </conditionalFormatting>
  <conditionalFormatting sqref="D48 D57:D58 C36:C38 D51 C33:D35 C41:D41 C9:D30 C1:C2 D1:D3">
    <cfRule type="cellIs" dxfId="55" priority="25" stopIfTrue="1" operator="equal">
      <formula>0</formula>
    </cfRule>
  </conditionalFormatting>
  <conditionalFormatting sqref="C43:D44">
    <cfRule type="cellIs" dxfId="54" priority="24" stopIfTrue="1" operator="equal">
      <formula>0</formula>
    </cfRule>
  </conditionalFormatting>
  <conditionalFormatting sqref="C46:D46 D47 C47:C63">
    <cfRule type="cellIs" dxfId="53" priority="23" stopIfTrue="1" operator="equal">
      <formula>0</formula>
    </cfRule>
  </conditionalFormatting>
  <conditionalFormatting sqref="D53:D54">
    <cfRule type="cellIs" dxfId="52" priority="22" stopIfTrue="1" operator="equal">
      <formula>0</formula>
    </cfRule>
  </conditionalFormatting>
  <conditionalFormatting sqref="C7:D7">
    <cfRule type="cellIs" dxfId="51" priority="8" stopIfTrue="1" operator="equal">
      <formula>0</formula>
    </cfRule>
  </conditionalFormatting>
  <conditionalFormatting sqref="D39">
    <cfRule type="cellIs" dxfId="50" priority="2" stopIfTrue="1" operator="equal">
      <formula>0</formula>
    </cfRule>
  </conditionalFormatting>
  <conditionalFormatting sqref="C70:D114">
    <cfRule type="cellIs" dxfId="49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2" fitToHeight="6" orientation="portrait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86"/>
  <sheetViews>
    <sheetView zoomScale="75" workbookViewId="0">
      <pane ySplit="3" topLeftCell="A16" activePane="bottomLeft" state="frozen"/>
      <selection activeCell="C47" sqref="A1:C47"/>
      <selection pane="bottomLeft" activeCell="H2" sqref="H2:H3"/>
    </sheetView>
  </sheetViews>
  <sheetFormatPr defaultRowHeight="12.75" x14ac:dyDescent="0.2"/>
  <cols>
    <col min="1" max="1" width="23.42578125" customWidth="1"/>
    <col min="2" max="2" width="86" customWidth="1"/>
    <col min="3" max="3" width="10.85546875" customWidth="1"/>
    <col min="4" max="4" width="9.5703125" customWidth="1"/>
    <col min="5" max="5" width="10.5703125" customWidth="1"/>
    <col min="6" max="6" width="10.42578125" customWidth="1"/>
    <col min="7" max="7" width="10.8554687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7.2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8.9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8.9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1293</v>
      </c>
      <c r="B7" s="233">
        <v>0</v>
      </c>
      <c r="C7" s="233">
        <v>0</v>
      </c>
      <c r="D7" s="233">
        <v>0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38" t="s">
        <v>1294</v>
      </c>
      <c r="B8" s="39" t="s">
        <v>1295</v>
      </c>
      <c r="C8" s="40" t="s">
        <v>129</v>
      </c>
      <c r="D8" s="40">
        <v>30</v>
      </c>
      <c r="E8" s="41">
        <v>730.8</v>
      </c>
      <c r="F8" s="41">
        <v>803.8</v>
      </c>
      <c r="G8" s="42">
        <v>888.6</v>
      </c>
      <c r="H8" s="37" t="s">
        <v>53</v>
      </c>
    </row>
    <row r="9" spans="1:8" ht="18.95" customHeight="1" thickTop="1" thickBot="1" x14ac:dyDescent="0.25">
      <c r="A9" s="38" t="s">
        <v>1296</v>
      </c>
      <c r="B9" s="39" t="s">
        <v>1297</v>
      </c>
      <c r="C9" s="40" t="s">
        <v>129</v>
      </c>
      <c r="D9" s="40">
        <v>30</v>
      </c>
      <c r="E9" s="41">
        <v>730.8</v>
      </c>
      <c r="F9" s="41">
        <v>803.8</v>
      </c>
      <c r="G9" s="42">
        <v>888.6</v>
      </c>
      <c r="H9" s="37" t="s">
        <v>53</v>
      </c>
    </row>
    <row r="10" spans="1:8" ht="18.95" customHeight="1" thickTop="1" thickBot="1" x14ac:dyDescent="0.25">
      <c r="A10" s="38" t="s">
        <v>1298</v>
      </c>
      <c r="B10" s="39" t="s">
        <v>1299</v>
      </c>
      <c r="C10" s="40" t="s">
        <v>129</v>
      </c>
      <c r="D10" s="40">
        <v>30</v>
      </c>
      <c r="E10" s="80">
        <v>894.9</v>
      </c>
      <c r="F10" s="80">
        <v>984.2</v>
      </c>
      <c r="G10" s="42">
        <v>1088.0999999999999</v>
      </c>
      <c r="H10" s="37" t="s">
        <v>53</v>
      </c>
    </row>
    <row r="11" spans="1:8" ht="23.25" customHeight="1" thickTop="1" thickBot="1" x14ac:dyDescent="0.25">
      <c r="A11" s="232" t="s">
        <v>1300</v>
      </c>
      <c r="B11" s="233">
        <v>0</v>
      </c>
      <c r="C11" s="233">
        <v>0</v>
      </c>
      <c r="D11" s="233">
        <v>0</v>
      </c>
      <c r="E11" s="233">
        <v>0</v>
      </c>
      <c r="F11" s="233">
        <v>0</v>
      </c>
      <c r="G11" s="234">
        <v>0</v>
      </c>
      <c r="H11" s="37" t="s">
        <v>44</v>
      </c>
    </row>
    <row r="12" spans="1:8" ht="17.25" customHeight="1" thickTop="1" thickBot="1" x14ac:dyDescent="0.25">
      <c r="A12" s="38" t="s">
        <v>1301</v>
      </c>
      <c r="B12" s="39" t="s">
        <v>1302</v>
      </c>
      <c r="C12" s="40">
        <v>0</v>
      </c>
      <c r="D12" s="40">
        <v>1000</v>
      </c>
      <c r="E12" s="41">
        <v>39.299999999999997</v>
      </c>
      <c r="F12" s="41">
        <v>44</v>
      </c>
      <c r="G12" s="42">
        <v>48.1</v>
      </c>
      <c r="H12" s="37" t="s">
        <v>53</v>
      </c>
    </row>
    <row r="13" spans="1:8" ht="18.95" customHeight="1" thickTop="1" thickBot="1" x14ac:dyDescent="0.25">
      <c r="A13" s="38" t="s">
        <v>1303</v>
      </c>
      <c r="B13" s="39" t="s">
        <v>1304</v>
      </c>
      <c r="C13" s="40">
        <v>0</v>
      </c>
      <c r="D13" s="40">
        <v>1000</v>
      </c>
      <c r="E13" s="80">
        <v>42.7</v>
      </c>
      <c r="F13" s="80">
        <v>47.5</v>
      </c>
      <c r="G13" s="42">
        <v>51.9</v>
      </c>
      <c r="H13" s="37" t="s">
        <v>53</v>
      </c>
    </row>
    <row r="14" spans="1:8" ht="18.95" customHeight="1" thickTop="1" thickBot="1" x14ac:dyDescent="0.25">
      <c r="A14" s="38" t="s">
        <v>1305</v>
      </c>
      <c r="B14" s="39" t="s">
        <v>1306</v>
      </c>
      <c r="C14" s="40">
        <v>0</v>
      </c>
      <c r="D14" s="40">
        <v>1500</v>
      </c>
      <c r="E14" s="80">
        <v>35.700000000000003</v>
      </c>
      <c r="F14" s="80">
        <v>39.4</v>
      </c>
      <c r="G14" s="42">
        <v>43.2</v>
      </c>
      <c r="H14" s="37" t="s">
        <v>53</v>
      </c>
    </row>
    <row r="15" spans="1:8" ht="17.25" customHeight="1" thickTop="1" thickBot="1" x14ac:dyDescent="0.25">
      <c r="A15" s="38" t="s">
        <v>1307</v>
      </c>
      <c r="B15" s="39" t="s">
        <v>1308</v>
      </c>
      <c r="C15" s="40">
        <v>0</v>
      </c>
      <c r="D15" s="40">
        <v>1500</v>
      </c>
      <c r="E15" s="80">
        <v>42.7</v>
      </c>
      <c r="F15" s="80">
        <v>47.5</v>
      </c>
      <c r="G15" s="42">
        <v>51.9</v>
      </c>
      <c r="H15" s="37" t="s">
        <v>53</v>
      </c>
    </row>
    <row r="16" spans="1:8" ht="18.95" customHeight="1" thickTop="1" thickBot="1" x14ac:dyDescent="0.25">
      <c r="A16" s="118" t="s">
        <v>1309</v>
      </c>
      <c r="B16" s="39" t="s">
        <v>1310</v>
      </c>
      <c r="C16" s="40">
        <v>0</v>
      </c>
      <c r="D16" s="40">
        <v>250</v>
      </c>
      <c r="E16" s="119">
        <v>98.8</v>
      </c>
      <c r="F16" s="119">
        <v>103.4</v>
      </c>
      <c r="G16" s="120">
        <v>107.9</v>
      </c>
      <c r="H16" s="37" t="s">
        <v>53</v>
      </c>
    </row>
    <row r="17" spans="1:12" ht="18.95" customHeight="1" thickTop="1" thickBot="1" x14ac:dyDescent="0.25">
      <c r="A17" s="38" t="s">
        <v>1311</v>
      </c>
      <c r="B17" s="39" t="s">
        <v>1312</v>
      </c>
      <c r="C17" s="40">
        <v>0</v>
      </c>
      <c r="D17" s="40">
        <v>1</v>
      </c>
      <c r="E17" s="80">
        <v>44.7</v>
      </c>
      <c r="F17" s="80">
        <v>49.6</v>
      </c>
      <c r="G17" s="42">
        <v>54.5</v>
      </c>
      <c r="H17" s="37" t="s">
        <v>53</v>
      </c>
    </row>
    <row r="18" spans="1:12" ht="18.95" customHeight="1" thickTop="1" thickBot="1" x14ac:dyDescent="0.25">
      <c r="A18" s="38" t="s">
        <v>1313</v>
      </c>
      <c r="B18" s="39" t="s">
        <v>1314</v>
      </c>
      <c r="C18" s="40">
        <v>0</v>
      </c>
      <c r="D18" s="40">
        <v>200</v>
      </c>
      <c r="E18" s="41">
        <v>119.9</v>
      </c>
      <c r="F18" s="41">
        <v>133.19999999999999</v>
      </c>
      <c r="G18" s="42">
        <v>145.69999999999999</v>
      </c>
      <c r="H18" s="37" t="s">
        <v>53</v>
      </c>
    </row>
    <row r="19" spans="1:12" ht="18.95" customHeight="1" thickTop="1" thickBot="1" x14ac:dyDescent="0.25">
      <c r="A19" s="38" t="s">
        <v>1315</v>
      </c>
      <c r="B19" s="39" t="s">
        <v>1316</v>
      </c>
      <c r="C19" s="40">
        <v>0</v>
      </c>
      <c r="D19" s="40">
        <v>1000</v>
      </c>
      <c r="E19" s="41">
        <v>43</v>
      </c>
      <c r="F19" s="41">
        <v>47.8</v>
      </c>
      <c r="G19" s="42">
        <v>52.2</v>
      </c>
      <c r="H19" s="37" t="s">
        <v>53</v>
      </c>
    </row>
    <row r="20" spans="1:12" ht="18.95" customHeight="1" thickTop="1" thickBot="1" x14ac:dyDescent="0.25">
      <c r="A20" s="38" t="s">
        <v>1317</v>
      </c>
      <c r="B20" s="39" t="s">
        <v>1318</v>
      </c>
      <c r="C20" s="40">
        <v>0</v>
      </c>
      <c r="D20" s="40">
        <v>500</v>
      </c>
      <c r="E20" s="41">
        <v>29.5</v>
      </c>
      <c r="F20" s="41">
        <v>32.9</v>
      </c>
      <c r="G20" s="42">
        <v>35.9</v>
      </c>
      <c r="H20" s="37" t="s">
        <v>53</v>
      </c>
    </row>
    <row r="21" spans="1:12" ht="18.95" customHeight="1" thickTop="1" thickBot="1" x14ac:dyDescent="0.25">
      <c r="A21" s="38" t="s">
        <v>1319</v>
      </c>
      <c r="B21" s="39" t="s">
        <v>1320</v>
      </c>
      <c r="C21" s="40">
        <v>0</v>
      </c>
      <c r="D21" s="40">
        <v>100</v>
      </c>
      <c r="E21" s="41">
        <v>92.8</v>
      </c>
      <c r="F21" s="41">
        <v>103</v>
      </c>
      <c r="G21" s="42">
        <v>112.6</v>
      </c>
      <c r="H21" s="37" t="s">
        <v>53</v>
      </c>
    </row>
    <row r="22" spans="1:12" ht="18.95" customHeight="1" thickTop="1" thickBot="1" x14ac:dyDescent="0.25">
      <c r="A22" s="38" t="s">
        <v>1321</v>
      </c>
      <c r="B22" s="39" t="s">
        <v>1322</v>
      </c>
      <c r="C22" s="40">
        <v>0</v>
      </c>
      <c r="D22" s="40">
        <v>500</v>
      </c>
      <c r="E22" s="41">
        <v>81.2</v>
      </c>
      <c r="F22" s="41">
        <v>90.3</v>
      </c>
      <c r="G22" s="42">
        <v>98.8</v>
      </c>
      <c r="H22" s="37" t="s">
        <v>53</v>
      </c>
    </row>
    <row r="23" spans="1:12" ht="17.25" customHeight="1" thickTop="1" thickBot="1" x14ac:dyDescent="0.25">
      <c r="A23" s="38" t="s">
        <v>1323</v>
      </c>
      <c r="B23" s="39" t="s">
        <v>1324</v>
      </c>
      <c r="C23" s="40">
        <v>0</v>
      </c>
      <c r="D23" s="40">
        <v>140</v>
      </c>
      <c r="E23" s="41">
        <v>283.3</v>
      </c>
      <c r="F23" s="41">
        <v>314.8</v>
      </c>
      <c r="G23" s="42">
        <v>344.3</v>
      </c>
      <c r="H23" s="37" t="s">
        <v>53</v>
      </c>
    </row>
    <row r="24" spans="1:12" ht="18.95" customHeight="1" thickTop="1" thickBot="1" x14ac:dyDescent="0.25">
      <c r="A24" s="232" t="s">
        <v>1325</v>
      </c>
      <c r="B24" s="233">
        <v>0</v>
      </c>
      <c r="C24" s="233">
        <v>0</v>
      </c>
      <c r="D24" s="233">
        <v>0</v>
      </c>
      <c r="E24" s="233">
        <v>0</v>
      </c>
      <c r="F24" s="233">
        <v>0</v>
      </c>
      <c r="G24" s="234">
        <v>0</v>
      </c>
      <c r="H24" s="37" t="s">
        <v>44</v>
      </c>
    </row>
    <row r="25" spans="1:12" ht="18.95" customHeight="1" thickTop="1" thickBot="1" x14ac:dyDescent="0.25">
      <c r="A25" s="221" t="s">
        <v>1326</v>
      </c>
      <c r="B25" s="222">
        <v>0</v>
      </c>
      <c r="C25" s="222">
        <v>0</v>
      </c>
      <c r="D25" s="222">
        <v>0</v>
      </c>
      <c r="E25" s="222">
        <v>0</v>
      </c>
      <c r="F25" s="222">
        <v>0</v>
      </c>
      <c r="G25" s="223">
        <v>0</v>
      </c>
      <c r="H25" s="37" t="s">
        <v>44</v>
      </c>
    </row>
    <row r="26" spans="1:12" ht="18.95" customHeight="1" thickTop="1" thickBot="1" x14ac:dyDescent="0.25">
      <c r="A26" s="38" t="s">
        <v>1327</v>
      </c>
      <c r="B26" s="39" t="s">
        <v>1328</v>
      </c>
      <c r="C26" s="40" t="s">
        <v>129</v>
      </c>
      <c r="D26" s="40">
        <v>40</v>
      </c>
      <c r="E26" s="41">
        <v>410.9</v>
      </c>
      <c r="F26" s="41">
        <v>452.4</v>
      </c>
      <c r="G26" s="42">
        <v>500</v>
      </c>
      <c r="H26" s="37" t="s">
        <v>50</v>
      </c>
    </row>
    <row r="27" spans="1:12" ht="18.95" customHeight="1" thickTop="1" thickBot="1" x14ac:dyDescent="0.25">
      <c r="A27" s="221" t="s">
        <v>1329</v>
      </c>
      <c r="B27" s="222">
        <v>0</v>
      </c>
      <c r="C27" s="222">
        <v>0</v>
      </c>
      <c r="D27" s="222">
        <v>0</v>
      </c>
      <c r="E27" s="222">
        <v>0</v>
      </c>
      <c r="F27" s="222">
        <v>0</v>
      </c>
      <c r="G27" s="223">
        <v>0</v>
      </c>
      <c r="H27" s="37" t="s">
        <v>44</v>
      </c>
    </row>
    <row r="28" spans="1:12" ht="18.95" customHeight="1" thickTop="1" thickBot="1" x14ac:dyDescent="0.25">
      <c r="A28" s="38" t="s">
        <v>1330</v>
      </c>
      <c r="B28" s="39" t="s">
        <v>1331</v>
      </c>
      <c r="C28" s="40" t="s">
        <v>129</v>
      </c>
      <c r="D28" s="40">
        <v>50</v>
      </c>
      <c r="E28" s="174">
        <v>200</v>
      </c>
      <c r="F28" s="174">
        <v>200</v>
      </c>
      <c r="G28" s="143">
        <v>200</v>
      </c>
      <c r="H28" s="37" t="s">
        <v>53</v>
      </c>
      <c r="I28" s="271" t="s">
        <v>1383</v>
      </c>
      <c r="J28" s="272"/>
      <c r="K28" s="272"/>
      <c r="L28" s="272"/>
    </row>
    <row r="29" spans="1:12" ht="18.95" customHeight="1" thickTop="1" thickBot="1" x14ac:dyDescent="0.25">
      <c r="A29" s="221" t="s">
        <v>1332</v>
      </c>
      <c r="B29" s="222">
        <v>0</v>
      </c>
      <c r="C29" s="222">
        <v>0</v>
      </c>
      <c r="D29" s="222">
        <v>0</v>
      </c>
      <c r="E29" s="222">
        <v>0</v>
      </c>
      <c r="F29" s="222">
        <v>0</v>
      </c>
      <c r="G29" s="223">
        <v>0</v>
      </c>
      <c r="H29" s="37" t="s">
        <v>44</v>
      </c>
    </row>
    <row r="30" spans="1:12" ht="18.95" customHeight="1" thickTop="1" thickBot="1" x14ac:dyDescent="0.25">
      <c r="A30" s="38" t="s">
        <v>1333</v>
      </c>
      <c r="B30" s="39" t="s">
        <v>1334</v>
      </c>
      <c r="C30" s="40" t="s">
        <v>129</v>
      </c>
      <c r="D30" s="40">
        <v>40</v>
      </c>
      <c r="E30" s="174">
        <v>200</v>
      </c>
      <c r="F30" s="174">
        <v>200</v>
      </c>
      <c r="G30" s="143">
        <v>200</v>
      </c>
      <c r="H30" s="37" t="s">
        <v>53</v>
      </c>
      <c r="I30" s="271" t="s">
        <v>1383</v>
      </c>
      <c r="J30" s="272"/>
      <c r="K30" s="272"/>
      <c r="L30" s="272"/>
    </row>
    <row r="31" spans="1:12" ht="17.25" customHeight="1" thickTop="1" thickBot="1" x14ac:dyDescent="0.25">
      <c r="A31" s="38" t="s">
        <v>1335</v>
      </c>
      <c r="B31" s="39" t="s">
        <v>1336</v>
      </c>
      <c r="C31" s="40" t="s">
        <v>129</v>
      </c>
      <c r="D31" s="40">
        <v>50</v>
      </c>
      <c r="E31" s="174">
        <v>200</v>
      </c>
      <c r="F31" s="174">
        <v>200</v>
      </c>
      <c r="G31" s="143">
        <v>200</v>
      </c>
      <c r="H31" s="37" t="s">
        <v>53</v>
      </c>
      <c r="I31" s="271" t="s">
        <v>1383</v>
      </c>
      <c r="J31" s="272"/>
      <c r="K31" s="272"/>
      <c r="L31" s="272"/>
    </row>
    <row r="32" spans="1:12" ht="18.95" customHeight="1" thickTop="1" thickBot="1" x14ac:dyDescent="0.25">
      <c r="A32" s="38" t="s">
        <v>1337</v>
      </c>
      <c r="B32" s="39" t="s">
        <v>1338</v>
      </c>
      <c r="C32" s="40" t="s">
        <v>129</v>
      </c>
      <c r="D32" s="40">
        <v>1000</v>
      </c>
      <c r="E32" s="174">
        <v>50</v>
      </c>
      <c r="F32" s="174">
        <v>50</v>
      </c>
      <c r="G32" s="143">
        <v>50</v>
      </c>
      <c r="H32" s="37" t="s">
        <v>53</v>
      </c>
      <c r="I32" s="271" t="s">
        <v>1383</v>
      </c>
      <c r="J32" s="272"/>
      <c r="K32" s="272"/>
      <c r="L32" s="272"/>
    </row>
    <row r="33" spans="1:12" ht="18.95" customHeight="1" thickTop="1" thickBot="1" x14ac:dyDescent="0.25">
      <c r="A33" s="38" t="s">
        <v>1337</v>
      </c>
      <c r="B33" s="39" t="s">
        <v>1338</v>
      </c>
      <c r="C33" s="40" t="s">
        <v>129</v>
      </c>
      <c r="D33" s="40">
        <v>1000</v>
      </c>
      <c r="E33" s="41">
        <v>135</v>
      </c>
      <c r="F33" s="41">
        <v>148.5</v>
      </c>
      <c r="G33" s="42">
        <v>163.80000000000001</v>
      </c>
      <c r="H33" s="37" t="s">
        <v>53</v>
      </c>
    </row>
    <row r="34" spans="1:12" ht="18.95" customHeight="1" thickTop="1" thickBot="1" x14ac:dyDescent="0.25">
      <c r="A34" s="221" t="s">
        <v>1339</v>
      </c>
      <c r="B34" s="222">
        <v>0</v>
      </c>
      <c r="C34" s="222">
        <v>0</v>
      </c>
      <c r="D34" s="222">
        <v>0</v>
      </c>
      <c r="E34" s="222">
        <v>0</v>
      </c>
      <c r="F34" s="222">
        <v>0</v>
      </c>
      <c r="G34" s="223">
        <v>0</v>
      </c>
      <c r="H34" s="37" t="s">
        <v>44</v>
      </c>
    </row>
    <row r="35" spans="1:12" ht="18.95" customHeight="1" thickTop="1" thickBot="1" x14ac:dyDescent="0.25">
      <c r="A35" s="38" t="s">
        <v>1340</v>
      </c>
      <c r="B35" s="39" t="s">
        <v>1341</v>
      </c>
      <c r="C35" s="40">
        <v>0</v>
      </c>
      <c r="D35" s="40">
        <v>500</v>
      </c>
      <c r="E35" s="41">
        <v>245.1</v>
      </c>
      <c r="F35" s="41">
        <v>245.1</v>
      </c>
      <c r="G35" s="42">
        <v>245.1</v>
      </c>
      <c r="H35" s="37" t="s">
        <v>53</v>
      </c>
    </row>
    <row r="36" spans="1:12" ht="17.25" customHeight="1" thickTop="1" thickBot="1" x14ac:dyDescent="0.25">
      <c r="A36" s="232" t="s">
        <v>1342</v>
      </c>
      <c r="B36" s="233">
        <v>0</v>
      </c>
      <c r="C36" s="233">
        <v>0</v>
      </c>
      <c r="D36" s="233">
        <v>0</v>
      </c>
      <c r="E36" s="233">
        <v>0</v>
      </c>
      <c r="F36" s="233">
        <v>0</v>
      </c>
      <c r="G36" s="234">
        <v>0</v>
      </c>
      <c r="H36" s="60" t="s">
        <v>44</v>
      </c>
    </row>
    <row r="37" spans="1:12" ht="18.95" customHeight="1" thickTop="1" thickBot="1" x14ac:dyDescent="0.25">
      <c r="A37" s="121" t="s">
        <v>1343</v>
      </c>
      <c r="B37" s="50" t="s">
        <v>1343</v>
      </c>
      <c r="C37" s="51">
        <v>0</v>
      </c>
      <c r="D37" s="51">
        <v>350</v>
      </c>
      <c r="E37" s="174">
        <v>200</v>
      </c>
      <c r="F37" s="174">
        <v>200</v>
      </c>
      <c r="G37" s="143">
        <v>200</v>
      </c>
      <c r="H37" s="37" t="s">
        <v>53</v>
      </c>
      <c r="I37" s="271" t="s">
        <v>1383</v>
      </c>
      <c r="J37" s="272"/>
      <c r="K37" s="272"/>
      <c r="L37" s="272"/>
    </row>
    <row r="38" spans="1:12" ht="18.95" customHeight="1" thickTop="1" thickBot="1" x14ac:dyDescent="0.25">
      <c r="A38" s="232" t="s">
        <v>1344</v>
      </c>
      <c r="B38" s="233">
        <v>0</v>
      </c>
      <c r="C38" s="233">
        <v>0</v>
      </c>
      <c r="D38" s="233">
        <v>0</v>
      </c>
      <c r="E38" s="233">
        <v>0</v>
      </c>
      <c r="F38" s="233">
        <v>0</v>
      </c>
      <c r="G38" s="234">
        <v>0</v>
      </c>
      <c r="H38" s="60" t="s">
        <v>44</v>
      </c>
    </row>
    <row r="39" spans="1:12" ht="18.95" customHeight="1" thickTop="1" thickBot="1" x14ac:dyDescent="0.25">
      <c r="A39" s="221" t="s">
        <v>1345</v>
      </c>
      <c r="B39" s="222">
        <v>0</v>
      </c>
      <c r="C39" s="222">
        <v>0</v>
      </c>
      <c r="D39" s="222">
        <v>0</v>
      </c>
      <c r="E39" s="222">
        <v>0</v>
      </c>
      <c r="F39" s="222">
        <v>0</v>
      </c>
      <c r="G39" s="223">
        <v>0</v>
      </c>
      <c r="H39" s="37" t="s">
        <v>44</v>
      </c>
    </row>
    <row r="40" spans="1:12" ht="18.95" customHeight="1" thickTop="1" thickBot="1" x14ac:dyDescent="0.25">
      <c r="A40" s="38" t="s">
        <v>1346</v>
      </c>
      <c r="B40" s="39" t="s">
        <v>1347</v>
      </c>
      <c r="C40" s="40" t="s">
        <v>129</v>
      </c>
      <c r="D40" s="40">
        <v>10</v>
      </c>
      <c r="E40" s="41">
        <v>2679.3</v>
      </c>
      <c r="F40" s="41">
        <v>2867</v>
      </c>
      <c r="G40" s="42">
        <v>3149.4</v>
      </c>
      <c r="H40" s="37" t="s">
        <v>53</v>
      </c>
    </row>
    <row r="41" spans="1:12" ht="23.25" customHeight="1" thickTop="1" thickBot="1" x14ac:dyDescent="0.25">
      <c r="A41" s="122" t="s">
        <v>1348</v>
      </c>
      <c r="B41" s="123" t="s">
        <v>1349</v>
      </c>
      <c r="C41" s="124">
        <v>0</v>
      </c>
      <c r="D41" s="125">
        <v>10</v>
      </c>
      <c r="E41" s="126">
        <v>2994.8</v>
      </c>
      <c r="F41" s="126">
        <v>3204.8</v>
      </c>
      <c r="G41" s="127">
        <v>3528.6</v>
      </c>
      <c r="H41" s="54" t="s">
        <v>53</v>
      </c>
    </row>
    <row r="42" spans="1:12" ht="18.95" customHeight="1" thickTop="1" x14ac:dyDescent="0.2">
      <c r="A42" s="55"/>
      <c r="B42" s="56"/>
      <c r="C42" s="57"/>
      <c r="D42" s="57"/>
      <c r="E42" s="58"/>
      <c r="F42" s="58"/>
      <c r="G42" s="58"/>
      <c r="H42" s="59"/>
    </row>
    <row r="43" spans="1:12" ht="18.95" customHeight="1" x14ac:dyDescent="0.2">
      <c r="A43" s="55"/>
      <c r="B43" s="56"/>
      <c r="C43" s="57"/>
      <c r="D43" s="57"/>
      <c r="E43" s="58"/>
      <c r="F43" s="58"/>
      <c r="G43" s="58"/>
      <c r="H43" s="59"/>
    </row>
    <row r="44" spans="1:12" ht="18.95" customHeight="1" x14ac:dyDescent="0.2">
      <c r="A44" s="55"/>
      <c r="B44" s="56"/>
      <c r="C44" s="57"/>
      <c r="D44" s="57"/>
      <c r="E44" s="58"/>
      <c r="F44" s="58"/>
      <c r="G44" s="58"/>
      <c r="H44" s="59"/>
    </row>
    <row r="45" spans="1:12" ht="18.95" customHeight="1" x14ac:dyDescent="0.2">
      <c r="A45" s="55"/>
      <c r="B45" s="56"/>
      <c r="C45" s="57"/>
      <c r="D45" s="57"/>
      <c r="E45" s="58"/>
      <c r="F45" s="58"/>
      <c r="G45" s="58"/>
      <c r="H45" s="59"/>
    </row>
    <row r="46" spans="1:12" ht="27.95" customHeight="1" x14ac:dyDescent="0.2">
      <c r="A46" s="55"/>
      <c r="B46" s="56"/>
      <c r="C46" s="57"/>
      <c r="D46" s="57"/>
      <c r="E46" s="58"/>
      <c r="F46" s="58"/>
      <c r="G46" s="58"/>
      <c r="H46" s="59"/>
    </row>
    <row r="47" spans="1:12" ht="28.5" customHeight="1" x14ac:dyDescent="0.2">
      <c r="A47" s="55"/>
      <c r="B47" s="56"/>
      <c r="C47" s="57"/>
      <c r="D47" s="57"/>
      <c r="E47" s="58"/>
      <c r="F47" s="58"/>
      <c r="G47" s="58"/>
      <c r="H47" s="59"/>
    </row>
    <row r="48" spans="1:12" ht="23.25" customHeight="1" x14ac:dyDescent="0.2">
      <c r="A48" s="55"/>
      <c r="B48" s="56"/>
      <c r="C48" s="57"/>
      <c r="D48" s="57"/>
      <c r="E48" s="58"/>
      <c r="F48" s="58"/>
      <c r="G48" s="58"/>
      <c r="H48" s="59"/>
    </row>
    <row r="49" spans="1:8" ht="18.95" customHeight="1" x14ac:dyDescent="0.2">
      <c r="A49" s="55"/>
      <c r="B49" s="56"/>
      <c r="C49" s="57"/>
      <c r="D49" s="57"/>
      <c r="E49" s="58"/>
      <c r="F49" s="58"/>
      <c r="G49" s="58"/>
      <c r="H49" s="59"/>
    </row>
    <row r="50" spans="1:8" ht="28.5" customHeight="1" x14ac:dyDescent="0.2">
      <c r="A50" s="55"/>
      <c r="B50" s="56"/>
      <c r="C50" s="57"/>
      <c r="D50" s="57"/>
      <c r="E50" s="58"/>
      <c r="F50" s="58"/>
      <c r="G50" s="58"/>
      <c r="H50" s="59"/>
    </row>
    <row r="51" spans="1:8" ht="28.5" customHeight="1" x14ac:dyDescent="0.2">
      <c r="A51" s="55"/>
      <c r="B51" s="56"/>
      <c r="C51" s="57"/>
      <c r="D51" s="57"/>
      <c r="E51" s="58"/>
      <c r="F51" s="58"/>
      <c r="G51" s="58"/>
      <c r="H51" s="59"/>
    </row>
    <row r="52" spans="1:8" ht="23.25" customHeight="1" x14ac:dyDescent="0.2">
      <c r="A52" s="55"/>
      <c r="B52" s="56"/>
      <c r="C52" s="57"/>
      <c r="D52" s="57"/>
      <c r="E52" s="58"/>
      <c r="F52" s="58"/>
      <c r="G52" s="58"/>
      <c r="H52" s="59"/>
    </row>
    <row r="53" spans="1:8" ht="17.25" customHeight="1" x14ac:dyDescent="0.2">
      <c r="A53" s="55"/>
      <c r="B53" s="56"/>
      <c r="C53" s="57"/>
      <c r="D53" s="57"/>
      <c r="E53" s="58"/>
      <c r="F53" s="58"/>
      <c r="G53" s="58"/>
      <c r="H53" s="59"/>
    </row>
    <row r="54" spans="1:8" ht="28.5" customHeight="1" x14ac:dyDescent="0.2">
      <c r="A54" s="55"/>
      <c r="B54" s="56"/>
      <c r="C54" s="57"/>
      <c r="D54" s="57"/>
      <c r="E54" s="58"/>
      <c r="F54" s="58"/>
      <c r="G54" s="58"/>
      <c r="H54" s="59"/>
    </row>
    <row r="55" spans="1:8" ht="17.25" customHeight="1" x14ac:dyDescent="0.2">
      <c r="A55" s="55"/>
      <c r="B55" s="56"/>
      <c r="C55" s="57"/>
      <c r="D55" s="57"/>
      <c r="E55" s="58"/>
      <c r="F55" s="58"/>
      <c r="G55" s="58"/>
      <c r="H55" s="59"/>
    </row>
    <row r="56" spans="1:8" x14ac:dyDescent="0.2">
      <c r="A56" s="55"/>
      <c r="B56" s="56"/>
      <c r="C56" s="57"/>
      <c r="D56" s="57"/>
      <c r="E56" s="58"/>
      <c r="F56" s="58"/>
      <c r="G56" s="58"/>
      <c r="H56" s="59"/>
    </row>
    <row r="57" spans="1:8" ht="21.75" customHeight="1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  <row r="68" spans="1:8" x14ac:dyDescent="0.2">
      <c r="A68" s="55"/>
      <c r="B68" s="56"/>
      <c r="C68" s="57"/>
      <c r="D68" s="57"/>
      <c r="E68" s="58"/>
      <c r="F68" s="58"/>
      <c r="G68" s="58"/>
      <c r="H68" s="59"/>
    </row>
    <row r="69" spans="1:8" x14ac:dyDescent="0.2">
      <c r="A69" s="55"/>
      <c r="B69" s="56"/>
      <c r="C69" s="57"/>
      <c r="D69" s="57"/>
      <c r="E69" s="58"/>
      <c r="F69" s="58"/>
      <c r="G69" s="58"/>
      <c r="H69" s="59"/>
    </row>
    <row r="70" spans="1:8" x14ac:dyDescent="0.2">
      <c r="A70" s="55"/>
      <c r="B70" s="56"/>
      <c r="C70" s="57"/>
      <c r="D70" s="57"/>
      <c r="E70" s="58"/>
      <c r="F70" s="58"/>
      <c r="G70" s="58"/>
      <c r="H70" s="59"/>
    </row>
    <row r="71" spans="1:8" x14ac:dyDescent="0.2">
      <c r="A71" s="55"/>
      <c r="B71" s="56"/>
      <c r="C71" s="57"/>
      <c r="D71" s="57"/>
      <c r="E71" s="58"/>
      <c r="F71" s="58"/>
      <c r="G71" s="58"/>
      <c r="H71" s="59"/>
    </row>
    <row r="72" spans="1:8" x14ac:dyDescent="0.2">
      <c r="A72" s="55"/>
      <c r="B72" s="56"/>
      <c r="C72" s="57"/>
      <c r="D72" s="57"/>
      <c r="E72" s="58"/>
      <c r="F72" s="58"/>
      <c r="G72" s="58"/>
      <c r="H72" s="59"/>
    </row>
    <row r="73" spans="1:8" x14ac:dyDescent="0.2">
      <c r="A73" s="55"/>
      <c r="B73" s="56"/>
      <c r="C73" s="57"/>
      <c r="D73" s="57"/>
      <c r="E73" s="58"/>
      <c r="F73" s="58"/>
      <c r="G73" s="58"/>
      <c r="H73" s="59"/>
    </row>
    <row r="74" spans="1:8" x14ac:dyDescent="0.2">
      <c r="A74" s="55"/>
      <c r="B74" s="56"/>
      <c r="C74" s="57"/>
      <c r="D74" s="57"/>
      <c r="E74" s="58"/>
      <c r="F74" s="58"/>
      <c r="G74" s="58"/>
      <c r="H74" s="59"/>
    </row>
    <row r="75" spans="1:8" x14ac:dyDescent="0.2">
      <c r="A75" s="55"/>
      <c r="B75" s="56"/>
      <c r="C75" s="57"/>
      <c r="D75" s="57"/>
      <c r="E75" s="58"/>
      <c r="F75" s="58"/>
      <c r="G75" s="58"/>
      <c r="H75" s="59"/>
    </row>
    <row r="76" spans="1:8" x14ac:dyDescent="0.2">
      <c r="A76" s="55"/>
      <c r="B76" s="56"/>
      <c r="C76" s="57"/>
      <c r="D76" s="57"/>
      <c r="E76" s="58"/>
      <c r="F76" s="58"/>
      <c r="G76" s="58"/>
      <c r="H76" s="59"/>
    </row>
    <row r="77" spans="1:8" x14ac:dyDescent="0.2">
      <c r="A77" s="55"/>
      <c r="B77" s="56"/>
      <c r="C77" s="57"/>
      <c r="D77" s="57"/>
      <c r="E77" s="58"/>
      <c r="F77" s="58"/>
      <c r="G77" s="58"/>
      <c r="H77" s="59"/>
    </row>
    <row r="78" spans="1:8" x14ac:dyDescent="0.2">
      <c r="A78" s="55"/>
      <c r="B78" s="56"/>
      <c r="C78" s="57"/>
      <c r="D78" s="57"/>
      <c r="E78" s="58"/>
      <c r="F78" s="58"/>
      <c r="G78" s="58"/>
      <c r="H78" s="59"/>
    </row>
    <row r="79" spans="1:8" x14ac:dyDescent="0.2">
      <c r="A79" s="55"/>
      <c r="B79" s="56"/>
      <c r="C79" s="57"/>
      <c r="D79" s="57"/>
      <c r="E79" s="58"/>
      <c r="F79" s="58"/>
      <c r="G79" s="58"/>
      <c r="H79" s="59"/>
    </row>
    <row r="80" spans="1:8" x14ac:dyDescent="0.2">
      <c r="A80" s="55"/>
      <c r="B80" s="56"/>
      <c r="C80" s="57"/>
      <c r="D80" s="57"/>
      <c r="E80" s="58"/>
      <c r="F80" s="58"/>
      <c r="G80" s="58"/>
      <c r="H80" s="59"/>
    </row>
    <row r="81" spans="1:8" x14ac:dyDescent="0.2">
      <c r="A81" s="55"/>
      <c r="B81" s="56"/>
      <c r="C81" s="57"/>
      <c r="D81" s="57"/>
      <c r="E81" s="58"/>
      <c r="F81" s="58"/>
      <c r="G81" s="58"/>
      <c r="H81" s="59"/>
    </row>
    <row r="82" spans="1:8" x14ac:dyDescent="0.2">
      <c r="A82" s="55"/>
      <c r="B82" s="56"/>
      <c r="C82" s="57"/>
      <c r="D82" s="57"/>
      <c r="E82" s="58"/>
      <c r="F82" s="58"/>
      <c r="G82" s="58"/>
      <c r="H82" s="59"/>
    </row>
    <row r="83" spans="1:8" x14ac:dyDescent="0.2">
      <c r="A83" s="55"/>
      <c r="B83" s="56"/>
      <c r="C83" s="57"/>
      <c r="D83" s="57"/>
      <c r="E83" s="58"/>
      <c r="F83" s="58"/>
      <c r="G83" s="58"/>
      <c r="H83" s="59"/>
    </row>
    <row r="84" spans="1:8" x14ac:dyDescent="0.2">
      <c r="A84" s="55"/>
      <c r="B84" s="56"/>
      <c r="C84" s="57"/>
      <c r="D84" s="57"/>
      <c r="E84" s="58"/>
      <c r="F84" s="58"/>
      <c r="G84" s="58"/>
      <c r="H84" s="59"/>
    </row>
    <row r="85" spans="1:8" x14ac:dyDescent="0.2">
      <c r="A85" s="55"/>
      <c r="B85" s="56"/>
      <c r="C85" s="57"/>
      <c r="D85" s="57"/>
      <c r="E85" s="58"/>
      <c r="F85" s="58"/>
      <c r="G85" s="58"/>
      <c r="H85" s="59"/>
    </row>
    <row r="86" spans="1:8" x14ac:dyDescent="0.2">
      <c r="A86" s="55"/>
      <c r="B86" s="56"/>
      <c r="C86" s="57"/>
      <c r="D86" s="57"/>
      <c r="E86" s="58"/>
      <c r="F86" s="58"/>
      <c r="G86" s="58"/>
      <c r="H86" s="59"/>
    </row>
  </sheetData>
  <mergeCells count="23">
    <mergeCell ref="A1:B1"/>
    <mergeCell ref="A2:A3"/>
    <mergeCell ref="B2:B3"/>
    <mergeCell ref="C2:C3"/>
    <mergeCell ref="D2:D3"/>
    <mergeCell ref="A39:G39"/>
    <mergeCell ref="G2:G3"/>
    <mergeCell ref="H2:H3"/>
    <mergeCell ref="A7:G7"/>
    <mergeCell ref="A11:G11"/>
    <mergeCell ref="A24:G24"/>
    <mergeCell ref="A25:G25"/>
    <mergeCell ref="E2:F2"/>
    <mergeCell ref="A27:G27"/>
    <mergeCell ref="A29:G29"/>
    <mergeCell ref="A34:G34"/>
    <mergeCell ref="A36:G36"/>
    <mergeCell ref="A38:G38"/>
    <mergeCell ref="I28:L28"/>
    <mergeCell ref="I30:L30"/>
    <mergeCell ref="I31:L31"/>
    <mergeCell ref="I32:L32"/>
    <mergeCell ref="I37:L37"/>
  </mergeCells>
  <phoneticPr fontId="0" type="noConversion"/>
  <conditionalFormatting sqref="C40:D40 C12:D16 C20:D23 C26:D26 E13:F17 D10:F10 C1:C2 D1:D3">
    <cfRule type="cellIs" dxfId="48" priority="26" stopIfTrue="1" operator="equal">
      <formula>0</formula>
    </cfRule>
  </conditionalFormatting>
  <conditionalFormatting sqref="C19:D19">
    <cfRule type="cellIs" dxfId="47" priority="25" stopIfTrue="1" operator="equal">
      <formula>0</formula>
    </cfRule>
  </conditionalFormatting>
  <conditionalFormatting sqref="D9">
    <cfRule type="cellIs" dxfId="46" priority="22" stopIfTrue="1" operator="equal">
      <formula>0</formula>
    </cfRule>
  </conditionalFormatting>
  <conditionalFormatting sqref="C18:D18">
    <cfRule type="cellIs" dxfId="45" priority="24" stopIfTrue="1" operator="equal">
      <formula>0</formula>
    </cfRule>
  </conditionalFormatting>
  <conditionalFormatting sqref="C17:D17">
    <cfRule type="cellIs" dxfId="44" priority="23" stopIfTrue="1" operator="equal">
      <formula>0</formula>
    </cfRule>
  </conditionalFormatting>
  <conditionalFormatting sqref="C9:C10">
    <cfRule type="cellIs" dxfId="43" priority="21" stopIfTrue="1" operator="equal">
      <formula>0</formula>
    </cfRule>
  </conditionalFormatting>
  <conditionalFormatting sqref="C7:D7">
    <cfRule type="cellIs" dxfId="42" priority="20" stopIfTrue="1" operator="equal">
      <formula>0</formula>
    </cfRule>
  </conditionalFormatting>
  <conditionalFormatting sqref="C11:D11">
    <cfRule type="cellIs" dxfId="41" priority="19" stopIfTrue="1" operator="equal">
      <formula>0</formula>
    </cfRule>
  </conditionalFormatting>
  <conditionalFormatting sqref="C24:D24">
    <cfRule type="cellIs" dxfId="40" priority="18" stopIfTrue="1" operator="equal">
      <formula>0</formula>
    </cfRule>
  </conditionalFormatting>
  <conditionalFormatting sqref="C25:D25">
    <cfRule type="cellIs" dxfId="39" priority="17" stopIfTrue="1" operator="equal">
      <formula>0</formula>
    </cfRule>
  </conditionalFormatting>
  <conditionalFormatting sqref="C27:D27">
    <cfRule type="cellIs" dxfId="38" priority="16" stopIfTrue="1" operator="equal">
      <formula>0</formula>
    </cfRule>
  </conditionalFormatting>
  <conditionalFormatting sqref="C38:D38">
    <cfRule type="cellIs" dxfId="37" priority="9" stopIfTrue="1" operator="equal">
      <formula>0</formula>
    </cfRule>
  </conditionalFormatting>
  <conditionalFormatting sqref="C39:D39">
    <cfRule type="cellIs" dxfId="36" priority="8" stopIfTrue="1" operator="equal">
      <formula>0</formula>
    </cfRule>
  </conditionalFormatting>
  <conditionalFormatting sqref="C8:D8">
    <cfRule type="cellIs" dxfId="35" priority="13" stopIfTrue="1" operator="equal">
      <formula>0</formula>
    </cfRule>
  </conditionalFormatting>
  <conditionalFormatting sqref="D41">
    <cfRule type="cellIs" dxfId="34" priority="12" stopIfTrue="1" operator="equal">
      <formula>0</formula>
    </cfRule>
  </conditionalFormatting>
  <conditionalFormatting sqref="C34:D34">
    <cfRule type="cellIs" dxfId="33" priority="4" stopIfTrue="1" operator="equal">
      <formula>0</formula>
    </cfRule>
  </conditionalFormatting>
  <conditionalFormatting sqref="C41">
    <cfRule type="cellIs" dxfId="32" priority="11" stopIfTrue="1" operator="equal">
      <formula>0</formula>
    </cfRule>
  </conditionalFormatting>
  <conditionalFormatting sqref="C42:D86">
    <cfRule type="cellIs" dxfId="31" priority="7" stopIfTrue="1" operator="equal">
      <formula>0</formula>
    </cfRule>
  </conditionalFormatting>
  <conditionalFormatting sqref="C35:D35 C28:D28 C30:D30 C33:D33">
    <cfRule type="cellIs" dxfId="30" priority="6" stopIfTrue="1" operator="equal">
      <formula>0</formula>
    </cfRule>
  </conditionalFormatting>
  <conditionalFormatting sqref="C29:D29">
    <cfRule type="cellIs" dxfId="29" priority="5" stopIfTrue="1" operator="equal">
      <formula>0</formula>
    </cfRule>
  </conditionalFormatting>
  <conditionalFormatting sqref="C36:D36">
    <cfRule type="cellIs" dxfId="28" priority="3" stopIfTrue="1" operator="equal">
      <formula>0</formula>
    </cfRule>
  </conditionalFormatting>
  <conditionalFormatting sqref="C31:D32">
    <cfRule type="cellIs" dxfId="27" priority="2" stopIfTrue="1" operator="equal">
      <formula>0</formula>
    </cfRule>
  </conditionalFormatting>
  <conditionalFormatting sqref="C37:D37">
    <cfRule type="cellIs" dxfId="26" priority="1" stopIfTrue="1" operator="equal">
      <formula>0</formula>
    </cfRule>
  </conditionalFormatting>
  <pageMargins left="0.15748031496062992" right="0.15748031496062992" top="0.39370078740157483" bottom="0.98425196850393704" header="0" footer="0.51181102362204722"/>
  <pageSetup paperSize="9" scale="63" fitToHeight="6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7"/>
  <sheetViews>
    <sheetView zoomScale="75" workbookViewId="0">
      <pane ySplit="3" topLeftCell="A4" activePane="bottomLeft" state="frozen"/>
      <selection activeCell="H2" sqref="H2:H3"/>
    </sheetView>
  </sheetViews>
  <sheetFormatPr defaultRowHeight="12.75" x14ac:dyDescent="0.2"/>
  <cols>
    <col min="1" max="1" width="23.42578125" customWidth="1"/>
    <col min="2" max="2" width="86" customWidth="1"/>
    <col min="3" max="3" width="10.85546875" customWidth="1"/>
    <col min="4" max="4" width="9.5703125" customWidth="1"/>
    <col min="5" max="5" width="10.5703125" customWidth="1"/>
    <col min="6" max="6" width="10.42578125" customWidth="1"/>
    <col min="7" max="7" width="10.85546875" customWidth="1"/>
  </cols>
  <sheetData>
    <row r="1" ht="15.75" thickBot="1" x14ac:dyDescent="0.25">
      <c r="A1" s="235" t="s">
        <v>30</v>
      </c>
      <c r="B1" s="235"/>
      <c r="C1" s="17" t="s">
        <v>31</v>
      </c>
      <c r="D1" s="18"/>
      <c r="E1" s="19"/>
      <c r="F1" s="19"/>
      <c r="G1" s="19"/>
      <c r="H1" s="20"/>
      <c r="I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8" ht="30.75" customHeight="1" thickTop="1" thickBot="1" x14ac:dyDescent="0.25">
      <c r="A2" s="236" t="s">
        <v>32</v>
      </c>
      <c r="B2" s="238" t="s">
        <v>33</v>
      </c>
      <c r="C2" s="240" t="s">
        <v>34</v>
      </c>
      <c r="D2" s="242" t="s">
        <v>35</v>
      </c>
      <c r="E2" s="244" t="s">
        <v>36</v>
      </c>
      <c r="F2" s="244"/>
      <c r="G2" s="245" t="s">
        <v>37</v>
      </c>
      <c r="H2" s="230">
        <v>46300</v>
      </c>
    </row>
    <row r="3" spans="1:8" ht="46.5" customHeight="1" thickTop="1" thickBot="1" x14ac:dyDescent="0.25">
      <c r="A3" s="237"/>
      <c r="B3" s="239"/>
      <c r="C3" s="241"/>
      <c r="D3" s="243"/>
      <c r="E3" s="21" t="s">
        <v>38</v>
      </c>
      <c r="F3" s="21" t="s">
        <v>39</v>
      </c>
      <c r="G3" s="246"/>
      <c r="H3" s="231"/>
    </row>
    <row r="4" spans="1:8" ht="17.25" customHeight="1" thickTop="1" thickBot="1" x14ac:dyDescent="0.25">
      <c r="A4" s="22"/>
      <c r="B4" s="23" t="s">
        <v>40</v>
      </c>
      <c r="C4" s="23"/>
      <c r="D4" s="23"/>
      <c r="E4" s="24"/>
      <c r="F4" s="24"/>
      <c r="G4" s="25"/>
      <c r="H4" s="26"/>
    </row>
    <row r="5" spans="1:8" ht="18.95" customHeight="1" thickTop="1" thickBot="1" x14ac:dyDescent="0.25">
      <c r="A5" s="27"/>
      <c r="B5" s="28" t="s">
        <v>41</v>
      </c>
      <c r="C5" s="28"/>
      <c r="D5" s="28"/>
      <c r="E5" s="29"/>
      <c r="F5" s="29"/>
      <c r="G5" s="30"/>
      <c r="H5" s="31"/>
    </row>
    <row r="6" spans="1:8" ht="18.95" customHeight="1" thickTop="1" thickBot="1" x14ac:dyDescent="0.25">
      <c r="A6" s="32"/>
      <c r="B6" s="33" t="s">
        <v>42</v>
      </c>
      <c r="C6" s="33"/>
      <c r="D6" s="33"/>
      <c r="E6" s="34"/>
      <c r="F6" s="34"/>
      <c r="G6" s="35"/>
      <c r="H6" s="36"/>
    </row>
    <row r="7" spans="1:8" ht="18.95" customHeight="1" thickTop="1" thickBot="1" x14ac:dyDescent="0.25">
      <c r="A7" s="232" t="s">
        <v>1350</v>
      </c>
      <c r="B7" s="233">
        <v>0</v>
      </c>
      <c r="C7" s="233">
        <v>0</v>
      </c>
      <c r="D7" s="233" t="e">
        <v>#REF!</v>
      </c>
      <c r="E7" s="233">
        <v>0</v>
      </c>
      <c r="F7" s="233">
        <v>0</v>
      </c>
      <c r="G7" s="234">
        <v>0</v>
      </c>
      <c r="H7" s="60" t="s">
        <v>44</v>
      </c>
    </row>
    <row r="8" spans="1:8" ht="18.95" customHeight="1" thickTop="1" thickBot="1" x14ac:dyDescent="0.25">
      <c r="A8" s="221" t="s">
        <v>1351</v>
      </c>
      <c r="B8" s="222">
        <v>0</v>
      </c>
      <c r="C8" s="222">
        <v>0</v>
      </c>
      <c r="D8" s="222" t="e">
        <v>#REF!</v>
      </c>
      <c r="E8" s="222">
        <v>0</v>
      </c>
      <c r="F8" s="222">
        <v>0</v>
      </c>
      <c r="G8" s="223">
        <v>0</v>
      </c>
      <c r="H8" s="37" t="s">
        <v>44</v>
      </c>
    </row>
    <row r="9" spans="1:8" ht="18.95" customHeight="1" thickTop="1" thickBot="1" x14ac:dyDescent="0.25">
      <c r="A9" s="38" t="s">
        <v>1352</v>
      </c>
      <c r="B9" s="39" t="s">
        <v>1353</v>
      </c>
      <c r="C9" s="40">
        <v>0</v>
      </c>
      <c r="D9" s="40">
        <v>60</v>
      </c>
      <c r="E9" s="41">
        <v>155.6</v>
      </c>
      <c r="F9" s="41">
        <v>171.7</v>
      </c>
      <c r="G9" s="42">
        <v>189.8</v>
      </c>
      <c r="H9" s="37" t="s">
        <v>53</v>
      </c>
    </row>
    <row r="10" spans="1:8" ht="18.95" customHeight="1" thickTop="1" thickBot="1" x14ac:dyDescent="0.25">
      <c r="A10" s="38" t="s">
        <v>1354</v>
      </c>
      <c r="B10" s="39" t="s">
        <v>1355</v>
      </c>
      <c r="C10" s="40">
        <v>0</v>
      </c>
      <c r="D10" s="40">
        <v>40</v>
      </c>
      <c r="E10" s="41">
        <v>237.4</v>
      </c>
      <c r="F10" s="41">
        <v>261.5</v>
      </c>
      <c r="G10" s="42">
        <v>288.8</v>
      </c>
      <c r="H10" s="37" t="s">
        <v>53</v>
      </c>
    </row>
    <row r="11" spans="1:8" ht="23.25" customHeight="1" thickTop="1" thickBot="1" x14ac:dyDescent="0.25">
      <c r="A11" s="38" t="s">
        <v>1356</v>
      </c>
      <c r="B11" s="39" t="s">
        <v>1357</v>
      </c>
      <c r="C11" s="40">
        <v>0</v>
      </c>
      <c r="D11" s="40">
        <v>40</v>
      </c>
      <c r="E11" s="41">
        <v>454.4</v>
      </c>
      <c r="F11" s="41">
        <v>499.9</v>
      </c>
      <c r="G11" s="42">
        <v>552.29999999999995</v>
      </c>
      <c r="H11" s="37" t="s">
        <v>53</v>
      </c>
    </row>
    <row r="12" spans="1:8" ht="17.25" customHeight="1" thickTop="1" thickBot="1" x14ac:dyDescent="0.25">
      <c r="A12" s="38" t="s">
        <v>1358</v>
      </c>
      <c r="B12" s="39" t="s">
        <v>1359</v>
      </c>
      <c r="C12" s="40">
        <v>0</v>
      </c>
      <c r="D12" s="40">
        <v>30</v>
      </c>
      <c r="E12" s="41">
        <v>500.8</v>
      </c>
      <c r="F12" s="41">
        <v>551.29999999999995</v>
      </c>
      <c r="G12" s="42">
        <v>608.9</v>
      </c>
      <c r="H12" s="37" t="s">
        <v>53</v>
      </c>
    </row>
    <row r="13" spans="1:8" ht="18.95" customHeight="1" thickTop="1" thickBot="1" x14ac:dyDescent="0.25">
      <c r="A13" s="221" t="s">
        <v>1360</v>
      </c>
      <c r="B13" s="222">
        <v>0</v>
      </c>
      <c r="C13" s="222">
        <v>0</v>
      </c>
      <c r="D13" s="222" t="e">
        <v>#REF!</v>
      </c>
      <c r="E13" s="222">
        <v>0</v>
      </c>
      <c r="F13" s="222">
        <v>0</v>
      </c>
      <c r="G13" s="223">
        <v>0</v>
      </c>
      <c r="H13" s="37" t="s">
        <v>44</v>
      </c>
    </row>
    <row r="14" spans="1:8" ht="18.95" customHeight="1" thickTop="1" thickBot="1" x14ac:dyDescent="0.25">
      <c r="A14" s="128" t="s">
        <v>1361</v>
      </c>
      <c r="B14" s="39" t="s">
        <v>1362</v>
      </c>
      <c r="C14" s="40">
        <v>0</v>
      </c>
      <c r="D14" s="40">
        <v>10</v>
      </c>
      <c r="E14" s="41">
        <v>1736.4</v>
      </c>
      <c r="F14" s="41">
        <v>1927.5</v>
      </c>
      <c r="G14" s="42">
        <v>2120.9</v>
      </c>
      <c r="H14" s="37" t="s">
        <v>53</v>
      </c>
    </row>
    <row r="15" spans="1:8" ht="17.25" customHeight="1" thickTop="1" thickBot="1" x14ac:dyDescent="0.25">
      <c r="A15" s="221" t="s">
        <v>1363</v>
      </c>
      <c r="B15" s="222">
        <v>0</v>
      </c>
      <c r="C15" s="222">
        <v>0</v>
      </c>
      <c r="D15" s="222" t="e">
        <v>#REF!</v>
      </c>
      <c r="E15" s="222">
        <v>0</v>
      </c>
      <c r="F15" s="222">
        <v>0</v>
      </c>
      <c r="G15" s="223">
        <v>0</v>
      </c>
      <c r="H15" s="37" t="s">
        <v>44</v>
      </c>
    </row>
    <row r="16" spans="1:8" ht="18.95" customHeight="1" thickTop="1" thickBot="1" x14ac:dyDescent="0.25">
      <c r="A16" s="38" t="s">
        <v>1364</v>
      </c>
      <c r="B16" s="39" t="s">
        <v>1365</v>
      </c>
      <c r="C16" s="40">
        <v>0</v>
      </c>
      <c r="D16" s="40">
        <v>1</v>
      </c>
      <c r="E16" s="41">
        <v>1809.4</v>
      </c>
      <c r="F16" s="41">
        <v>1990.2</v>
      </c>
      <c r="G16" s="42">
        <v>2199.3000000000002</v>
      </c>
      <c r="H16" s="37" t="s">
        <v>50</v>
      </c>
    </row>
    <row r="17" spans="1:8" ht="18.95" customHeight="1" thickTop="1" thickBot="1" x14ac:dyDescent="0.25">
      <c r="A17" s="38" t="s">
        <v>1366</v>
      </c>
      <c r="B17" s="39" t="s">
        <v>1367</v>
      </c>
      <c r="C17" s="40">
        <v>0</v>
      </c>
      <c r="D17" s="40">
        <v>4</v>
      </c>
      <c r="E17" s="41">
        <v>1478.9</v>
      </c>
      <c r="F17" s="41">
        <v>1626.6</v>
      </c>
      <c r="G17" s="42">
        <v>1797.5</v>
      </c>
      <c r="H17" s="37" t="s">
        <v>53</v>
      </c>
    </row>
    <row r="18" spans="1:8" ht="18.95" customHeight="1" thickTop="1" thickBot="1" x14ac:dyDescent="0.25">
      <c r="A18" s="38" t="s">
        <v>1368</v>
      </c>
      <c r="B18" s="39" t="s">
        <v>1369</v>
      </c>
      <c r="C18" s="40">
        <v>0</v>
      </c>
      <c r="D18" s="40">
        <v>1</v>
      </c>
      <c r="E18" s="41">
        <v>1654.4</v>
      </c>
      <c r="F18" s="41">
        <v>1819.8</v>
      </c>
      <c r="G18" s="41">
        <v>2010.9</v>
      </c>
      <c r="H18" s="37" t="s">
        <v>53</v>
      </c>
    </row>
    <row r="19" spans="1:8" ht="18.95" customHeight="1" thickTop="1" thickBot="1" x14ac:dyDescent="0.25">
      <c r="A19" s="38" t="s">
        <v>1370</v>
      </c>
      <c r="B19" s="39" t="s">
        <v>1371</v>
      </c>
      <c r="C19" s="40">
        <v>0</v>
      </c>
      <c r="D19" s="40">
        <v>1</v>
      </c>
      <c r="E19" s="41">
        <v>1119.3</v>
      </c>
      <c r="F19" s="41">
        <v>1230.8</v>
      </c>
      <c r="G19" s="42">
        <v>1360.4</v>
      </c>
      <c r="H19" s="37" t="s">
        <v>50</v>
      </c>
    </row>
    <row r="20" spans="1:8" ht="18.95" customHeight="1" thickTop="1" thickBot="1" x14ac:dyDescent="0.25">
      <c r="A20" s="128" t="s">
        <v>1372</v>
      </c>
      <c r="B20" s="39" t="s">
        <v>1373</v>
      </c>
      <c r="C20" s="40">
        <v>0</v>
      </c>
      <c r="D20" s="40">
        <v>1</v>
      </c>
      <c r="E20" s="41">
        <v>2203.5</v>
      </c>
      <c r="F20" s="41">
        <v>2423.8000000000002</v>
      </c>
      <c r="G20" s="42">
        <v>2678.4</v>
      </c>
      <c r="H20" s="37" t="s">
        <v>53</v>
      </c>
    </row>
    <row r="21" spans="1:8" ht="18.95" customHeight="1" thickTop="1" thickBot="1" x14ac:dyDescent="0.25">
      <c r="A21" s="221" t="s">
        <v>1374</v>
      </c>
      <c r="B21" s="222">
        <v>0</v>
      </c>
      <c r="C21" s="222">
        <v>0</v>
      </c>
      <c r="D21" s="222" t="e">
        <v>#REF!</v>
      </c>
      <c r="E21" s="222">
        <v>0</v>
      </c>
      <c r="F21" s="222">
        <v>0</v>
      </c>
      <c r="G21" s="223">
        <v>0</v>
      </c>
      <c r="H21" s="37" t="s">
        <v>44</v>
      </c>
    </row>
    <row r="22" spans="1:8" ht="18.95" customHeight="1" thickTop="1" thickBot="1" x14ac:dyDescent="0.25">
      <c r="A22" s="121" t="s">
        <v>1375</v>
      </c>
      <c r="B22" s="50" t="s">
        <v>1376</v>
      </c>
      <c r="C22" s="51">
        <v>0</v>
      </c>
      <c r="D22" s="51">
        <v>1</v>
      </c>
      <c r="E22" s="52">
        <v>1065</v>
      </c>
      <c r="F22" s="52">
        <v>1171.2</v>
      </c>
      <c r="G22" s="53">
        <v>1294.4000000000001</v>
      </c>
      <c r="H22" s="54" t="s">
        <v>53</v>
      </c>
    </row>
    <row r="23" spans="1:8" ht="17.25" customHeight="1" thickTop="1" x14ac:dyDescent="0.2">
      <c r="A23" s="55"/>
      <c r="B23" s="56"/>
      <c r="C23" s="57"/>
      <c r="D23" s="57"/>
      <c r="E23" s="58"/>
      <c r="F23" s="58"/>
      <c r="G23" s="58"/>
      <c r="H23" s="59"/>
    </row>
    <row r="24" spans="1:8" ht="18.95" customHeight="1" x14ac:dyDescent="0.2">
      <c r="A24" s="55"/>
      <c r="B24" s="56"/>
      <c r="C24" s="57"/>
      <c r="D24" s="57"/>
      <c r="E24" s="58"/>
      <c r="F24" s="58"/>
      <c r="G24" s="58"/>
      <c r="H24" s="59"/>
    </row>
    <row r="25" spans="1:8" ht="18.95" customHeight="1" x14ac:dyDescent="0.2">
      <c r="A25" s="55"/>
      <c r="B25" s="56"/>
      <c r="C25" s="57"/>
      <c r="D25" s="57"/>
      <c r="E25" s="58"/>
      <c r="F25" s="58"/>
      <c r="G25" s="58"/>
      <c r="H25" s="59"/>
    </row>
    <row r="26" spans="1:8" ht="18.95" customHeight="1" x14ac:dyDescent="0.2">
      <c r="A26" s="55"/>
      <c r="B26" s="56"/>
      <c r="C26" s="57"/>
      <c r="D26" s="57"/>
      <c r="E26" s="58"/>
      <c r="F26" s="58"/>
      <c r="G26" s="58"/>
      <c r="H26" s="59"/>
    </row>
    <row r="27" spans="1:8" ht="18.95" customHeight="1" x14ac:dyDescent="0.2">
      <c r="A27" s="55"/>
      <c r="B27" s="56"/>
      <c r="C27" s="57"/>
      <c r="D27" s="57"/>
      <c r="E27" s="58"/>
      <c r="F27" s="58"/>
      <c r="G27" s="58"/>
      <c r="H27" s="59"/>
    </row>
    <row r="28" spans="1:8" ht="18.95" customHeight="1" x14ac:dyDescent="0.2">
      <c r="A28" s="55"/>
      <c r="B28" s="56"/>
      <c r="C28" s="57"/>
      <c r="D28" s="57"/>
      <c r="E28" s="58"/>
      <c r="F28" s="58"/>
      <c r="G28" s="58"/>
      <c r="H28" s="59"/>
    </row>
    <row r="29" spans="1:8" ht="18.95" customHeight="1" x14ac:dyDescent="0.2">
      <c r="A29" s="55"/>
      <c r="B29" s="56"/>
      <c r="C29" s="57"/>
      <c r="D29" s="57"/>
      <c r="E29" s="58"/>
      <c r="F29" s="58"/>
      <c r="G29" s="58"/>
      <c r="H29" s="59"/>
    </row>
    <row r="30" spans="1:8" ht="18.95" customHeight="1" x14ac:dyDescent="0.2">
      <c r="A30" s="55"/>
      <c r="B30" s="56"/>
      <c r="C30" s="57"/>
      <c r="D30" s="57"/>
      <c r="E30" s="58"/>
      <c r="F30" s="58"/>
      <c r="G30" s="58"/>
      <c r="H30" s="59"/>
    </row>
    <row r="31" spans="1:8" ht="17.25" customHeight="1" x14ac:dyDescent="0.2">
      <c r="A31" s="55"/>
      <c r="B31" s="56"/>
      <c r="C31" s="57"/>
      <c r="D31" s="57"/>
      <c r="E31" s="58"/>
      <c r="F31" s="58"/>
      <c r="G31" s="58"/>
      <c r="H31" s="59"/>
    </row>
    <row r="32" spans="1:8" ht="18.95" customHeight="1" x14ac:dyDescent="0.2">
      <c r="A32" s="55"/>
      <c r="B32" s="56"/>
      <c r="C32" s="57"/>
      <c r="D32" s="57"/>
      <c r="E32" s="58"/>
      <c r="F32" s="58"/>
      <c r="G32" s="58"/>
      <c r="H32" s="59"/>
    </row>
    <row r="33" spans="1:8" ht="18.95" customHeight="1" x14ac:dyDescent="0.2">
      <c r="A33" s="55"/>
      <c r="B33" s="56"/>
      <c r="C33" s="57"/>
      <c r="D33" s="57"/>
      <c r="E33" s="58"/>
      <c r="F33" s="58"/>
      <c r="G33" s="58"/>
      <c r="H33" s="59"/>
    </row>
    <row r="34" spans="1:8" ht="18.95" customHeight="1" x14ac:dyDescent="0.2">
      <c r="A34" s="55"/>
      <c r="B34" s="56"/>
      <c r="C34" s="57"/>
      <c r="D34" s="57"/>
      <c r="E34" s="58"/>
      <c r="F34" s="58"/>
      <c r="G34" s="58"/>
      <c r="H34" s="59"/>
    </row>
    <row r="35" spans="1:8" ht="18.95" customHeight="1" x14ac:dyDescent="0.2">
      <c r="A35" s="55"/>
      <c r="B35" s="56"/>
      <c r="C35" s="57"/>
      <c r="D35" s="57"/>
      <c r="E35" s="58"/>
      <c r="F35" s="58"/>
      <c r="G35" s="58"/>
      <c r="H35" s="59"/>
    </row>
    <row r="36" spans="1:8" ht="17.25" customHeight="1" x14ac:dyDescent="0.2">
      <c r="A36" s="55"/>
      <c r="B36" s="56"/>
      <c r="C36" s="57"/>
      <c r="D36" s="57"/>
      <c r="E36" s="58"/>
      <c r="F36" s="58"/>
      <c r="G36" s="58"/>
      <c r="H36" s="59"/>
    </row>
    <row r="37" spans="1:8" ht="18.95" customHeight="1" x14ac:dyDescent="0.2">
      <c r="A37" s="55"/>
      <c r="B37" s="56"/>
      <c r="C37" s="57"/>
      <c r="D37" s="57"/>
      <c r="E37" s="58"/>
      <c r="F37" s="58"/>
      <c r="G37" s="58"/>
      <c r="H37" s="59"/>
    </row>
    <row r="38" spans="1:8" ht="18.95" customHeight="1" x14ac:dyDescent="0.2">
      <c r="A38" s="55"/>
      <c r="B38" s="56"/>
      <c r="C38" s="57"/>
      <c r="D38" s="57"/>
      <c r="E38" s="58"/>
      <c r="F38" s="58"/>
      <c r="G38" s="58"/>
      <c r="H38" s="59"/>
    </row>
    <row r="39" spans="1:8" ht="18.95" customHeight="1" x14ac:dyDescent="0.2">
      <c r="A39" s="55"/>
      <c r="B39" s="56"/>
      <c r="C39" s="57"/>
      <c r="D39" s="57"/>
      <c r="E39" s="58"/>
      <c r="F39" s="58"/>
      <c r="G39" s="58"/>
      <c r="H39" s="59"/>
    </row>
    <row r="40" spans="1:8" ht="18.95" customHeight="1" x14ac:dyDescent="0.2">
      <c r="A40" s="55"/>
      <c r="B40" s="56"/>
      <c r="C40" s="57"/>
      <c r="D40" s="57"/>
      <c r="E40" s="58"/>
      <c r="F40" s="58"/>
      <c r="G40" s="58"/>
      <c r="H40" s="59"/>
    </row>
    <row r="41" spans="1:8" ht="23.25" customHeight="1" x14ac:dyDescent="0.2">
      <c r="A41" s="55"/>
      <c r="B41" s="56"/>
      <c r="C41" s="57"/>
      <c r="D41" s="57"/>
      <c r="E41" s="58"/>
      <c r="F41" s="58"/>
      <c r="G41" s="58"/>
      <c r="H41" s="59"/>
    </row>
    <row r="42" spans="1:8" ht="18.95" customHeight="1" x14ac:dyDescent="0.2">
      <c r="A42" s="55"/>
      <c r="B42" s="56"/>
      <c r="C42" s="57"/>
      <c r="D42" s="57"/>
      <c r="E42" s="58"/>
      <c r="F42" s="58"/>
      <c r="G42" s="58"/>
      <c r="H42" s="59"/>
    </row>
    <row r="43" spans="1:8" ht="18.95" customHeight="1" x14ac:dyDescent="0.2">
      <c r="A43" s="55"/>
      <c r="B43" s="56"/>
      <c r="C43" s="57"/>
      <c r="D43" s="57"/>
      <c r="E43" s="58"/>
      <c r="F43" s="58"/>
      <c r="G43" s="58"/>
      <c r="H43" s="59"/>
    </row>
    <row r="44" spans="1:8" ht="18.95" customHeight="1" x14ac:dyDescent="0.2">
      <c r="A44" s="55"/>
      <c r="B44" s="56"/>
      <c r="C44" s="57"/>
      <c r="D44" s="57"/>
      <c r="E44" s="58"/>
      <c r="F44" s="58"/>
      <c r="G44" s="58"/>
      <c r="H44" s="59"/>
    </row>
    <row r="45" spans="1:8" ht="18.95" customHeight="1" x14ac:dyDescent="0.2">
      <c r="A45" s="55"/>
      <c r="B45" s="56"/>
      <c r="C45" s="57"/>
      <c r="D45" s="57"/>
      <c r="E45" s="58"/>
      <c r="F45" s="58"/>
      <c r="G45" s="58"/>
      <c r="H45" s="59"/>
    </row>
    <row r="46" spans="1:8" ht="27.95" customHeight="1" x14ac:dyDescent="0.2">
      <c r="A46" s="55"/>
      <c r="B46" s="56"/>
      <c r="C46" s="57"/>
      <c r="D46" s="57"/>
      <c r="E46" s="58"/>
      <c r="F46" s="58"/>
      <c r="G46" s="58"/>
      <c r="H46" s="59"/>
    </row>
    <row r="47" spans="1:8" ht="28.5" customHeight="1" x14ac:dyDescent="0.2">
      <c r="A47" s="55"/>
      <c r="B47" s="56"/>
      <c r="C47" s="57"/>
      <c r="D47" s="57"/>
      <c r="E47" s="58"/>
      <c r="F47" s="58"/>
      <c r="G47" s="58"/>
      <c r="H47" s="59"/>
    </row>
    <row r="48" spans="1:8" ht="23.25" customHeight="1" x14ac:dyDescent="0.2">
      <c r="A48" s="55"/>
      <c r="B48" s="56"/>
      <c r="C48" s="57"/>
      <c r="D48" s="57"/>
      <c r="E48" s="58"/>
      <c r="F48" s="58"/>
      <c r="G48" s="58"/>
      <c r="H48" s="59"/>
    </row>
    <row r="49" spans="1:8" ht="18.95" customHeight="1" x14ac:dyDescent="0.2">
      <c r="A49" s="55"/>
      <c r="B49" s="56"/>
      <c r="C49" s="57"/>
      <c r="D49" s="57"/>
      <c r="E49" s="58"/>
      <c r="F49" s="58"/>
      <c r="G49" s="58"/>
      <c r="H49" s="59"/>
    </row>
    <row r="50" spans="1:8" ht="28.5" customHeight="1" x14ac:dyDescent="0.2">
      <c r="A50" s="55"/>
      <c r="B50" s="56"/>
      <c r="C50" s="57"/>
      <c r="D50" s="57"/>
      <c r="E50" s="58"/>
      <c r="F50" s="58"/>
      <c r="G50" s="58"/>
      <c r="H50" s="59"/>
    </row>
    <row r="51" spans="1:8" ht="28.5" customHeight="1" x14ac:dyDescent="0.2">
      <c r="A51" s="55"/>
      <c r="B51" s="56"/>
      <c r="C51" s="57"/>
      <c r="D51" s="57"/>
      <c r="E51" s="58"/>
      <c r="F51" s="58"/>
      <c r="G51" s="58"/>
      <c r="H51" s="59"/>
    </row>
    <row r="52" spans="1:8" ht="23.25" customHeight="1" x14ac:dyDescent="0.2">
      <c r="A52" s="55"/>
      <c r="B52" s="56"/>
      <c r="C52" s="57"/>
      <c r="D52" s="57"/>
      <c r="E52" s="58"/>
      <c r="F52" s="58"/>
      <c r="G52" s="58"/>
      <c r="H52" s="59"/>
    </row>
    <row r="53" spans="1:8" ht="17.25" customHeight="1" x14ac:dyDescent="0.2">
      <c r="A53" s="55"/>
      <c r="B53" s="56"/>
      <c r="C53" s="57"/>
      <c r="D53" s="57"/>
      <c r="E53" s="58"/>
      <c r="F53" s="58"/>
      <c r="G53" s="58"/>
      <c r="H53" s="59"/>
    </row>
    <row r="54" spans="1:8" ht="28.5" customHeight="1" x14ac:dyDescent="0.2">
      <c r="A54" s="55"/>
      <c r="B54" s="56"/>
      <c r="C54" s="57"/>
      <c r="D54" s="57"/>
      <c r="E54" s="58"/>
      <c r="F54" s="58"/>
      <c r="G54" s="58"/>
      <c r="H54" s="59"/>
    </row>
    <row r="55" spans="1:8" ht="17.25" customHeight="1" x14ac:dyDescent="0.2">
      <c r="A55" s="55"/>
      <c r="B55" s="56"/>
      <c r="C55" s="57"/>
      <c r="D55" s="57"/>
      <c r="E55" s="58"/>
      <c r="F55" s="58"/>
      <c r="G55" s="58"/>
      <c r="H55" s="59"/>
    </row>
    <row r="56" spans="1:8" x14ac:dyDescent="0.2">
      <c r="A56" s="55"/>
      <c r="B56" s="56"/>
      <c r="C56" s="57"/>
      <c r="D56" s="57"/>
      <c r="E56" s="58"/>
      <c r="F56" s="58"/>
      <c r="G56" s="58"/>
      <c r="H56" s="59"/>
    </row>
    <row r="57" spans="1:8" ht="21.75" customHeight="1" x14ac:dyDescent="0.2">
      <c r="A57" s="55"/>
      <c r="B57" s="56"/>
      <c r="C57" s="57"/>
      <c r="D57" s="57"/>
      <c r="E57" s="58"/>
      <c r="F57" s="58"/>
      <c r="G57" s="58"/>
      <c r="H57" s="59"/>
    </row>
    <row r="58" spans="1:8" x14ac:dyDescent="0.2">
      <c r="A58" s="55"/>
      <c r="B58" s="56"/>
      <c r="C58" s="57"/>
      <c r="D58" s="57"/>
      <c r="E58" s="58"/>
      <c r="F58" s="58"/>
      <c r="G58" s="58"/>
      <c r="H58" s="59"/>
    </row>
    <row r="59" spans="1:8" x14ac:dyDescent="0.2">
      <c r="A59" s="55"/>
      <c r="B59" s="56"/>
      <c r="C59" s="57"/>
      <c r="D59" s="57"/>
      <c r="E59" s="58"/>
      <c r="F59" s="58"/>
      <c r="G59" s="58"/>
      <c r="H59" s="59"/>
    </row>
    <row r="60" spans="1:8" x14ac:dyDescent="0.2">
      <c r="A60" s="55"/>
      <c r="B60" s="56"/>
      <c r="C60" s="57"/>
      <c r="D60" s="57"/>
      <c r="E60" s="58"/>
      <c r="F60" s="58"/>
      <c r="G60" s="58"/>
      <c r="H60" s="59"/>
    </row>
    <row r="61" spans="1:8" x14ac:dyDescent="0.2">
      <c r="A61" s="55"/>
      <c r="B61" s="56"/>
      <c r="C61" s="57"/>
      <c r="D61" s="57"/>
      <c r="E61" s="58"/>
      <c r="F61" s="58"/>
      <c r="G61" s="58"/>
      <c r="H61" s="59"/>
    </row>
    <row r="62" spans="1:8" x14ac:dyDescent="0.2">
      <c r="A62" s="55"/>
      <c r="B62" s="56"/>
      <c r="C62" s="57"/>
      <c r="D62" s="57"/>
      <c r="E62" s="58"/>
      <c r="F62" s="58"/>
      <c r="G62" s="58"/>
      <c r="H62" s="59"/>
    </row>
    <row r="63" spans="1:8" x14ac:dyDescent="0.2">
      <c r="A63" s="55"/>
      <c r="B63" s="56"/>
      <c r="C63" s="57"/>
      <c r="D63" s="57"/>
      <c r="E63" s="58"/>
      <c r="F63" s="58"/>
      <c r="G63" s="58"/>
      <c r="H63" s="59"/>
    </row>
    <row r="64" spans="1:8" x14ac:dyDescent="0.2">
      <c r="A64" s="55"/>
      <c r="B64" s="56"/>
      <c r="C64" s="57"/>
      <c r="D64" s="57"/>
      <c r="E64" s="58"/>
      <c r="F64" s="58"/>
      <c r="G64" s="58"/>
      <c r="H64" s="59"/>
    </row>
    <row r="65" spans="1:8" x14ac:dyDescent="0.2">
      <c r="A65" s="55"/>
      <c r="B65" s="56"/>
      <c r="C65" s="57"/>
      <c r="D65" s="57"/>
      <c r="E65" s="58"/>
      <c r="F65" s="58"/>
      <c r="G65" s="58"/>
      <c r="H65" s="59"/>
    </row>
    <row r="66" spans="1:8" x14ac:dyDescent="0.2">
      <c r="A66" s="55"/>
      <c r="B66" s="56"/>
      <c r="C66" s="57"/>
      <c r="D66" s="57"/>
      <c r="E66" s="58"/>
      <c r="F66" s="58"/>
      <c r="G66" s="58"/>
      <c r="H66" s="59"/>
    </row>
    <row r="67" spans="1:8" x14ac:dyDescent="0.2">
      <c r="A67" s="55"/>
      <c r="B67" s="56"/>
      <c r="C67" s="57"/>
      <c r="D67" s="57"/>
      <c r="E67" s="58"/>
      <c r="F67" s="58"/>
      <c r="G67" s="58"/>
      <c r="H67" s="59"/>
    </row>
  </sheetData>
  <mergeCells count="13">
    <mergeCell ref="A1:B1"/>
    <mergeCell ref="A2:A3"/>
    <mergeCell ref="B2:B3"/>
    <mergeCell ref="C2:C3"/>
    <mergeCell ref="D2:D3"/>
    <mergeCell ref="A21:G21"/>
    <mergeCell ref="G2:G3"/>
    <mergeCell ref="H2:H3"/>
    <mergeCell ref="A7:G7"/>
    <mergeCell ref="A8:G8"/>
    <mergeCell ref="A13:G13"/>
    <mergeCell ref="A15:G15"/>
    <mergeCell ref="E2:F2"/>
  </mergeCells>
  <phoneticPr fontId="9" type="noConversion"/>
  <conditionalFormatting sqref="C7:D7">
    <cfRule type="cellIs" dxfId="25" priority="2" stopIfTrue="1" operator="equal">
      <formula>0</formula>
    </cfRule>
  </conditionalFormatting>
  <conditionalFormatting sqref="C22:D22 C9:D12 C16:D20 C1:C2 D1:D3">
    <cfRule type="cellIs" dxfId="24" priority="8" stopIfTrue="1" operator="equal">
      <formula>0</formula>
    </cfRule>
  </conditionalFormatting>
  <conditionalFormatting sqref="C14:D14">
    <cfRule type="cellIs" dxfId="23" priority="7" stopIfTrue="1" operator="equal">
      <formula>0</formula>
    </cfRule>
  </conditionalFormatting>
  <conditionalFormatting sqref="C8:D8">
    <cfRule type="cellIs" dxfId="22" priority="6" stopIfTrue="1" operator="equal">
      <formula>0</formula>
    </cfRule>
  </conditionalFormatting>
  <conditionalFormatting sqref="C13:D13">
    <cfRule type="cellIs" dxfId="21" priority="5" stopIfTrue="1" operator="equal">
      <formula>0</formula>
    </cfRule>
  </conditionalFormatting>
  <conditionalFormatting sqref="C15:D15">
    <cfRule type="cellIs" dxfId="20" priority="4" stopIfTrue="1" operator="equal">
      <formula>0</formula>
    </cfRule>
  </conditionalFormatting>
  <conditionalFormatting sqref="C21:D21">
    <cfRule type="cellIs" dxfId="19" priority="3" stopIfTrue="1" operator="equal">
      <formula>0</formula>
    </cfRule>
  </conditionalFormatting>
  <conditionalFormatting sqref="C23:D67">
    <cfRule type="cellIs" dxfId="18" priority="1" stopIfTrue="1" operator="equal">
      <formula>0</formula>
    </cfRule>
  </conditionalFormatting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M54"/>
  <sheetViews>
    <sheetView zoomScale="70" zoomScaleNormal="70" workbookViewId="0">
      <pane ySplit="3" topLeftCell="A4" activePane="bottomLeft" state="frozen"/>
      <selection activeCell="I2" sqref="I2:I3"/>
    </sheetView>
  </sheetViews>
  <sheetFormatPr defaultRowHeight="12.75" x14ac:dyDescent="0.2"/>
  <cols>
    <col min="1" max="1" width="23.42578125" customWidth="1"/>
    <col min="2" max="2" width="31.42578125" style="129" customWidth="1"/>
    <col min="3" max="3" width="86" customWidth="1"/>
    <col min="4" max="4" width="10.85546875" customWidth="1"/>
    <col min="5" max="5" width="9.5703125" customWidth="1"/>
    <col min="6" max="6" width="10.5703125" customWidth="1"/>
    <col min="7" max="7" width="10.42578125" customWidth="1"/>
    <col min="8" max="8" width="10.85546875" customWidth="1"/>
  </cols>
  <sheetData>
    <row r="1" ht="15.75" customHeight="1" thickBot="1" x14ac:dyDescent="0.25">
      <c r="A1" s="235" t="s">
        <v>30</v>
      </c>
      <c r="B1" s="235"/>
      <c r="C1" s="235"/>
      <c r="D1" s="17" t="s">
        <v>1384</v>
      </c>
      <c r="E1" s="18"/>
      <c r="F1" s="19"/>
      <c r="G1" s="19"/>
      <c r="H1" s="19"/>
      <c r="I1" s="20"/>
      <c r="J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13" ht="30.75" customHeight="1" thickTop="1" thickBot="1" x14ac:dyDescent="0.25">
      <c r="A2" s="236" t="s">
        <v>32</v>
      </c>
      <c r="B2" s="149"/>
      <c r="C2" s="238" t="s">
        <v>33</v>
      </c>
      <c r="D2" s="240" t="s">
        <v>34</v>
      </c>
      <c r="E2" s="242" t="s">
        <v>35</v>
      </c>
      <c r="F2" s="244" t="s">
        <v>36</v>
      </c>
      <c r="G2" s="244"/>
      <c r="H2" s="245" t="s">
        <v>37</v>
      </c>
      <c r="I2" s="230">
        <v>46293</v>
      </c>
    </row>
    <row r="3" spans="1:13" ht="46.5" customHeight="1" thickTop="1" thickBot="1" x14ac:dyDescent="0.25">
      <c r="A3" s="237"/>
      <c r="B3" s="148"/>
      <c r="C3" s="239"/>
      <c r="D3" s="241"/>
      <c r="E3" s="243"/>
      <c r="F3" s="21" t="s">
        <v>38</v>
      </c>
      <c r="G3" s="21" t="s">
        <v>39</v>
      </c>
      <c r="H3" s="246"/>
      <c r="I3" s="231"/>
    </row>
    <row r="4" spans="1:13" ht="18.95" customHeight="1" thickTop="1" thickBot="1" x14ac:dyDescent="0.25">
      <c r="A4" s="277" t="s">
        <v>1377</v>
      </c>
      <c r="B4" s="278"/>
      <c r="C4" s="279">
        <v>0</v>
      </c>
      <c r="D4" s="279">
        <v>0</v>
      </c>
      <c r="E4" s="279">
        <v>0</v>
      </c>
      <c r="F4" s="279">
        <v>0</v>
      </c>
      <c r="G4" s="279">
        <v>0</v>
      </c>
      <c r="H4" s="280">
        <v>0</v>
      </c>
      <c r="I4" s="37" t="s">
        <v>44</v>
      </c>
    </row>
    <row r="5" spans="1:13" s="129" customFormat="1" ht="158.25" customHeight="1" thickTop="1" thickBot="1" x14ac:dyDescent="0.25">
      <c r="A5" s="147" t="s">
        <v>1378</v>
      </c>
      <c r="B5" s="146"/>
      <c r="C5" s="145" t="s">
        <v>218</v>
      </c>
      <c r="D5" s="144" t="s">
        <v>49</v>
      </c>
      <c r="E5" s="144">
        <v>32</v>
      </c>
      <c r="F5" s="281"/>
      <c r="G5" s="282"/>
      <c r="H5" s="143">
        <v>200</v>
      </c>
      <c r="I5" s="37" t="s">
        <v>53</v>
      </c>
      <c r="J5" s="275" t="s">
        <v>1383</v>
      </c>
      <c r="K5" s="276"/>
      <c r="L5" s="276"/>
      <c r="M5" s="276"/>
    </row>
    <row r="6" spans="1:13" s="129" customFormat="1" ht="125.25" customHeight="1" thickTop="1" thickBot="1" x14ac:dyDescent="0.25">
      <c r="A6" s="138" t="s">
        <v>1379</v>
      </c>
      <c r="B6" s="137"/>
      <c r="C6" s="136" t="s">
        <v>1380</v>
      </c>
      <c r="D6" s="135">
        <v>0</v>
      </c>
      <c r="E6" s="135">
        <v>40</v>
      </c>
      <c r="F6" s="99">
        <v>1347.2</v>
      </c>
      <c r="G6" s="99">
        <v>1478.7</v>
      </c>
      <c r="H6" s="100">
        <v>1625.5</v>
      </c>
      <c r="I6" s="37" t="s">
        <v>53</v>
      </c>
    </row>
    <row r="7" spans="1:13" ht="89.25" customHeight="1" thickTop="1" thickBot="1" x14ac:dyDescent="0.25">
      <c r="A7" s="142"/>
      <c r="B7" s="141"/>
      <c r="C7" s="140"/>
      <c r="D7" s="140"/>
      <c r="E7" s="139" t="s">
        <v>35</v>
      </c>
      <c r="F7" s="283" t="s">
        <v>1382</v>
      </c>
      <c r="G7" s="284"/>
      <c r="H7" s="284"/>
      <c r="I7" s="285"/>
    </row>
    <row r="8" spans="1:13" s="129" customFormat="1" ht="160.5" customHeight="1" thickTop="1" thickBot="1" x14ac:dyDescent="0.25">
      <c r="A8" s="138" t="s">
        <v>217</v>
      </c>
      <c r="B8" s="137"/>
      <c r="C8" s="136" t="s">
        <v>218</v>
      </c>
      <c r="D8" s="135" t="s">
        <v>49</v>
      </c>
      <c r="E8" s="135">
        <v>32</v>
      </c>
      <c r="F8" s="273" t="s">
        <v>1381</v>
      </c>
      <c r="G8" s="274"/>
      <c r="H8" s="134">
        <v>632.4</v>
      </c>
      <c r="I8" s="133" t="s">
        <v>50</v>
      </c>
    </row>
    <row r="9" spans="1:13" ht="17.25" customHeight="1" thickTop="1" x14ac:dyDescent="0.2">
      <c r="A9" s="55"/>
      <c r="B9" s="132"/>
      <c r="C9" s="56"/>
      <c r="D9" s="57"/>
      <c r="E9" s="57"/>
      <c r="F9" s="131"/>
      <c r="G9" s="131"/>
      <c r="H9" s="131"/>
      <c r="I9" s="130"/>
    </row>
    <row r="10" spans="1:13" ht="18.95" customHeight="1" x14ac:dyDescent="0.2">
      <c r="A10" s="55"/>
      <c r="B10" s="132"/>
      <c r="C10" s="56"/>
      <c r="D10" s="57"/>
      <c r="E10" s="57"/>
      <c r="F10" s="131"/>
      <c r="G10" s="131"/>
      <c r="H10" s="131"/>
      <c r="I10" s="130"/>
    </row>
    <row r="11" spans="1:13" ht="18.95" customHeight="1" x14ac:dyDescent="0.2">
      <c r="A11" s="55"/>
      <c r="B11" s="132"/>
      <c r="C11" s="56"/>
      <c r="D11" s="57"/>
      <c r="E11" s="57"/>
      <c r="F11" s="131"/>
      <c r="G11" s="131"/>
      <c r="H11" s="131"/>
      <c r="I11" s="130"/>
    </row>
    <row r="12" spans="1:13" ht="17.25" customHeight="1" x14ac:dyDescent="0.2">
      <c r="A12" s="55"/>
      <c r="B12" s="132"/>
      <c r="C12" s="56"/>
      <c r="D12" s="57"/>
      <c r="E12" s="57"/>
      <c r="F12" s="131"/>
      <c r="G12" s="131"/>
      <c r="H12" s="131"/>
      <c r="I12" s="130"/>
    </row>
    <row r="13" spans="1:13" ht="18.95" customHeight="1" x14ac:dyDescent="0.2">
      <c r="I13" s="130"/>
    </row>
    <row r="14" spans="1:13" ht="18.95" customHeight="1" x14ac:dyDescent="0.2">
      <c r="I14" s="130"/>
    </row>
    <row r="15" spans="1:13" ht="18.95" customHeight="1" x14ac:dyDescent="0.2">
      <c r="I15" s="130"/>
    </row>
    <row r="16" spans="1:13" ht="18.95" customHeight="1" x14ac:dyDescent="0.2">
      <c r="I16" s="130"/>
    </row>
    <row r="17" spans="9:9" ht="18.95" customHeight="1" x14ac:dyDescent="0.2">
      <c r="I17" s="130"/>
    </row>
    <row r="18" spans="9:9" ht="18.95" customHeight="1" x14ac:dyDescent="0.2">
      <c r="I18" s="130"/>
    </row>
    <row r="19" spans="9:9" ht="18.95" customHeight="1" x14ac:dyDescent="0.2">
      <c r="I19" s="130"/>
    </row>
    <row r="20" spans="9:9" ht="17.25" customHeight="1" x14ac:dyDescent="0.2">
      <c r="I20" s="130"/>
    </row>
    <row r="21" spans="9:9" ht="18.95" customHeight="1" x14ac:dyDescent="0.2"/>
    <row r="22" spans="9:9" ht="18.95" customHeight="1" x14ac:dyDescent="0.2"/>
    <row r="23" spans="9:9" ht="18.95" customHeight="1" x14ac:dyDescent="0.2"/>
    <row r="24" spans="9:9" ht="18.95" customHeight="1" x14ac:dyDescent="0.2"/>
    <row r="25" spans="9:9" ht="18.95" customHeight="1" x14ac:dyDescent="0.2"/>
    <row r="26" spans="9:9" ht="18.95" customHeight="1" x14ac:dyDescent="0.2"/>
    <row r="27" spans="9:9" ht="18.95" customHeight="1" x14ac:dyDescent="0.2"/>
    <row r="28" spans="9:9" ht="17.25" customHeight="1" x14ac:dyDescent="0.2"/>
    <row r="29" spans="9:9" ht="18.95" customHeight="1" x14ac:dyDescent="0.2"/>
    <row r="30" spans="9:9" ht="18.95" customHeight="1" x14ac:dyDescent="0.2"/>
    <row r="31" spans="9:9" ht="18.95" customHeight="1" x14ac:dyDescent="0.2"/>
    <row r="32" spans="9:9" ht="18.95" customHeight="1" x14ac:dyDescent="0.2"/>
    <row r="33" ht="17.25" customHeight="1" x14ac:dyDescent="0.2"/>
    <row r="34" ht="18.95" customHeight="1" x14ac:dyDescent="0.2"/>
    <row r="35" ht="18.95" customHeight="1" x14ac:dyDescent="0.2"/>
    <row r="36" ht="18.95" customHeight="1" x14ac:dyDescent="0.2"/>
    <row r="37" ht="18.95" customHeight="1" x14ac:dyDescent="0.2"/>
    <row r="38" ht="23.25" customHeight="1" x14ac:dyDescent="0.2"/>
    <row r="39" ht="18.95" customHeight="1" x14ac:dyDescent="0.2"/>
    <row r="40" ht="18.95" customHeight="1" x14ac:dyDescent="0.2"/>
    <row r="41" ht="18.95" customHeight="1" x14ac:dyDescent="0.2"/>
    <row r="42" ht="18.95" customHeight="1" x14ac:dyDescent="0.2"/>
    <row r="43" ht="27.95" customHeight="1" x14ac:dyDescent="0.2"/>
    <row r="44" ht="28.5" customHeight="1" x14ac:dyDescent="0.2"/>
    <row r="45" ht="23.25" customHeight="1" x14ac:dyDescent="0.2"/>
    <row r="46" ht="18.95" customHeight="1" x14ac:dyDescent="0.2"/>
    <row r="47" ht="28.5" customHeight="1" x14ac:dyDescent="0.2"/>
    <row r="48" ht="28.5" customHeight="1" x14ac:dyDescent="0.2"/>
    <row r="49" ht="23.25" customHeight="1" x14ac:dyDescent="0.2"/>
    <row r="50" ht="17.25" customHeight="1" x14ac:dyDescent="0.2"/>
    <row r="51" ht="28.5" customHeight="1" x14ac:dyDescent="0.2"/>
    <row r="52" ht="17.25" customHeight="1" x14ac:dyDescent="0.2"/>
    <row r="54" ht="21.75" customHeight="1" x14ac:dyDescent="0.2"/>
  </sheetData>
  <mergeCells count="13">
    <mergeCell ref="A1:C1"/>
    <mergeCell ref="E2:E3"/>
    <mergeCell ref="F2:G2"/>
    <mergeCell ref="A2:A3"/>
    <mergeCell ref="C2:C3"/>
    <mergeCell ref="D2:D3"/>
    <mergeCell ref="F8:G8"/>
    <mergeCell ref="H2:H3"/>
    <mergeCell ref="J5:M5"/>
    <mergeCell ref="I2:I3"/>
    <mergeCell ref="A4:H4"/>
    <mergeCell ref="F5:G5"/>
    <mergeCell ref="F7:I7"/>
  </mergeCells>
  <conditionalFormatting sqref="D5:D6">
    <cfRule type="cellIs" dxfId="17" priority="5" stopIfTrue="1" operator="equal">
      <formula>0</formula>
    </cfRule>
  </conditionalFormatting>
  <conditionalFormatting sqref="D7:E7">
    <cfRule type="cellIs" dxfId="16" priority="4" stopIfTrue="1" operator="equal">
      <formula>0</formula>
    </cfRule>
  </conditionalFormatting>
  <conditionalFormatting sqref="D8">
    <cfRule type="cellIs" dxfId="15" priority="3" stopIfTrue="1" operator="equal">
      <formula>0</formula>
    </cfRule>
  </conditionalFormatting>
  <conditionalFormatting sqref="E8">
    <cfRule type="cellIs" dxfId="14" priority="2" stopIfTrue="1" operator="equal">
      <formula>0</formula>
    </cfRule>
  </conditionalFormatting>
  <conditionalFormatting sqref="E13:E15">
    <cfRule type="cellIs" dxfId="13" priority="9" stopIfTrue="1" operator="equal">
      <formula>0</formula>
    </cfRule>
  </conditionalFormatting>
  <conditionalFormatting sqref="D13:D15">
    <cfRule type="cellIs" dxfId="12" priority="10" stopIfTrue="1" operator="equal">
      <formula>0</formula>
    </cfRule>
  </conditionalFormatting>
  <conditionalFormatting sqref="D9:E12">
    <cfRule type="cellIs" dxfId="11" priority="8" stopIfTrue="1" operator="equal">
      <formula>0</formula>
    </cfRule>
  </conditionalFormatting>
  <conditionalFormatting sqref="D4:E4">
    <cfRule type="cellIs" dxfId="10" priority="7" stopIfTrue="1" operator="equal">
      <formula>0</formula>
    </cfRule>
  </conditionalFormatting>
  <conditionalFormatting sqref="E5:E6">
    <cfRule type="cellIs" dxfId="9" priority="6" stopIfTrue="1" operator="equal">
      <formula>0</formula>
    </cfRule>
  </conditionalFormatting>
  <conditionalFormatting sqref="D1:D2 E1:E3">
    <cfRule type="cellIs" dxfId="8" priority="1" stopIfTrue="1" operator="equal">
      <formula>0</formula>
    </cfRule>
  </conditionalFormatting>
  <hyperlinks>
    <hyperlink ref="F8:G8" r:id="rId1" display="по запросу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workbookViewId="0">
      <pane ySplit="3" topLeftCell="A4" activePane="bottomLeft" state="frozen"/>
      <selection activeCell="G2" sqref="G2:G3"/>
    </sheetView>
  </sheetViews>
  <sheetFormatPr defaultColWidth="9.140625" defaultRowHeight="12.75" x14ac:dyDescent="0.2"/>
  <cols>
    <col min="1" max="1" width="15.85546875" style="150" customWidth="1"/>
    <col min="2" max="2" width="82.85546875" style="150" customWidth="1"/>
    <col min="3" max="3" width="12.140625" style="150" customWidth="1"/>
    <col min="4" max="4" width="11.140625" style="205" customWidth="1"/>
    <col min="5" max="6" width="11.42578125" style="205" customWidth="1"/>
    <col min="7" max="7" width="15.28515625" style="150" customWidth="1"/>
    <col min="8" max="8" width="8.42578125" style="150" customWidth="1"/>
    <col min="9" max="9" width="10.42578125" style="150" bestFit="1" customWidth="1"/>
    <col min="10" max="10" width="12.42578125" style="150" customWidth="1"/>
    <col min="14" max="14" width="15.85546875" customWidth="1"/>
    <col min="21" max="16384" width="9.140625" style="150"/>
  </cols>
  <sheetData>
    <row r="1" ht="24" customHeight="1" thickBot="1" x14ac:dyDescent="0.25">
      <c r="A1" s="292" t="s">
        <v>30</v>
      </c>
      <c r="B1" s="292">
        <v>0</v>
      </c>
      <c r="C1" s="293" t="s">
        <v>1396</v>
      </c>
      <c r="D1" s="293"/>
      <c r="E1" s="293"/>
      <c r="F1" s="293"/>
      <c r="G1" s="293"/>
      <c r="H1" s="293"/>
      <c r="I1" s="293"/>
      <c r="J1" s="293"/>
      <c r="K1" s="331" t="str">
        <f>HYPERLINK("#'Заявка'!B860",IF('Заявка'!$L$5&gt;0,"В заявке "&amp;'Заявка'!$L$5&amp;" поз. на "&amp;IF(ROUND('Заявка'!$G$5,0)&gt;=1000,INT(ROUND('Заявка'!$G$5,0)/1000)&amp;" "&amp;TEXT(MOD(ROUND('Заявка'!$G$5,0),1000),"000"),ROUND('Заявка'!$G$5,0)&amp;"")&amp;" ₽ →","Перейти к заявке →"))</f>
        <v>Перейти к заявке →</v>
      </c>
    </row>
    <row r="2" spans="1:10" ht="42" thickTop="1" thickBot="1" x14ac:dyDescent="0.25">
      <c r="A2" s="294" t="s">
        <v>1397</v>
      </c>
      <c r="B2" s="175" t="s">
        <v>1398</v>
      </c>
      <c r="C2" s="295" t="s">
        <v>1399</v>
      </c>
      <c r="D2" s="296" t="s">
        <v>36</v>
      </c>
      <c r="E2" s="296"/>
      <c r="F2" s="297" t="s">
        <v>1400</v>
      </c>
      <c r="G2" s="230">
        <v>46300</v>
      </c>
      <c r="H2" s="298" t="s">
        <v>1401</v>
      </c>
      <c r="I2" s="299"/>
      <c r="J2" s="300"/>
    </row>
    <row r="3" spans="1:10" ht="27" thickTop="1" thickBot="1" x14ac:dyDescent="0.25">
      <c r="A3" s="294"/>
      <c r="B3" s="176" t="s">
        <v>32</v>
      </c>
      <c r="C3" s="295"/>
      <c r="D3" s="177" t="s">
        <v>1402</v>
      </c>
      <c r="E3" s="177" t="s">
        <v>1403</v>
      </c>
      <c r="F3" s="297"/>
      <c r="G3" s="231"/>
      <c r="H3" s="177" t="s">
        <v>1404</v>
      </c>
      <c r="I3" s="177" t="s">
        <v>1405</v>
      </c>
      <c r="J3" s="177" t="s">
        <v>1406</v>
      </c>
    </row>
    <row r="4" spans="1:10" ht="16.5" thickTop="1" thickBot="1" x14ac:dyDescent="0.3">
      <c r="A4" s="289" t="s">
        <v>1407</v>
      </c>
      <c r="B4" s="290">
        <v>0</v>
      </c>
      <c r="C4" s="290">
        <v>0</v>
      </c>
      <c r="D4" s="290">
        <v>0</v>
      </c>
      <c r="E4" s="290"/>
      <c r="F4" s="291"/>
      <c r="G4" s="178" t="s">
        <v>44</v>
      </c>
      <c r="H4" s="179"/>
      <c r="I4" s="180"/>
      <c r="J4" s="181"/>
    </row>
    <row r="5" spans="1:10" ht="16.5" thickTop="1" thickBot="1" x14ac:dyDescent="0.3">
      <c r="A5" s="38" t="s">
        <v>1408</v>
      </c>
      <c r="B5" s="39" t="s">
        <v>1409</v>
      </c>
      <c r="C5" s="182" t="s">
        <v>1410</v>
      </c>
      <c r="D5" s="183">
        <v>4134.2</v>
      </c>
      <c r="E5" s="183">
        <v>4351.8</v>
      </c>
      <c r="F5" s="184">
        <v>4699.8999999999996</v>
      </c>
      <c r="G5" s="185" t="s">
        <v>53</v>
      </c>
      <c r="H5" s="186"/>
      <c r="I5" s="183">
        <f>IF(G5="+",IF(SUMPRODUCT(H$5:H$99,D$5:D$99)&gt;90000,D5,IF(SUMPRODUCT(H$5:H$99,E$5:E$99)&gt;25000,E5,F5)),0)</f>
        <v>4699.8999999999996</v>
      </c>
      <c r="J5" s="184">
        <f t="shared" ref="J5:J68" si="0">H5*I5</f>
        <v>0</v>
      </c>
    </row>
    <row r="6" spans="1:10" ht="16.5" thickTop="1" thickBot="1" x14ac:dyDescent="0.3">
      <c r="A6" s="38" t="s">
        <v>1411</v>
      </c>
      <c r="B6" s="39" t="s">
        <v>1412</v>
      </c>
      <c r="C6" s="182" t="s">
        <v>1413</v>
      </c>
      <c r="D6" s="183">
        <v>45.9</v>
      </c>
      <c r="E6" s="183">
        <v>48.6</v>
      </c>
      <c r="F6" s="184">
        <v>56.1</v>
      </c>
      <c r="G6" s="185" t="s">
        <v>53</v>
      </c>
      <c r="H6" s="186"/>
      <c r="I6" s="183">
        <f t="shared" ref="I6:I69" si="1">IF(G6="+",IF(SUMPRODUCT(H$5:H$99,D$5:D$99)&gt;90000,D6,IF(SUMPRODUCT(H$5:H$99,E$5:E$99)&gt;25000,E6,F6)),0)</f>
        <v>56.1</v>
      </c>
      <c r="J6" s="184">
        <f t="shared" si="0"/>
        <v>0</v>
      </c>
    </row>
    <row r="7" spans="1:10" ht="16.5" thickTop="1" thickBot="1" x14ac:dyDescent="0.3">
      <c r="A7" s="38" t="s">
        <v>1414</v>
      </c>
      <c r="B7" s="39" t="s">
        <v>1415</v>
      </c>
      <c r="C7" s="182" t="s">
        <v>1413</v>
      </c>
      <c r="D7" s="183">
        <v>803.3</v>
      </c>
      <c r="E7" s="183">
        <v>845.3</v>
      </c>
      <c r="F7" s="184">
        <v>945.9</v>
      </c>
      <c r="G7" s="185" t="s">
        <v>53</v>
      </c>
      <c r="H7" s="186"/>
      <c r="I7" s="183">
        <f t="shared" si="1"/>
        <v>945.9</v>
      </c>
      <c r="J7" s="184">
        <f t="shared" si="0"/>
        <v>0</v>
      </c>
    </row>
    <row r="8" spans="1:10" ht="16.5" thickTop="1" thickBot="1" x14ac:dyDescent="0.3">
      <c r="A8" s="38" t="s">
        <v>1416</v>
      </c>
      <c r="B8" s="39" t="s">
        <v>1417</v>
      </c>
      <c r="C8" s="182" t="s">
        <v>1418</v>
      </c>
      <c r="D8" s="183">
        <v>2186.8000000000002</v>
      </c>
      <c r="E8" s="183">
        <v>2302.5</v>
      </c>
      <c r="F8" s="184">
        <v>2413.6</v>
      </c>
      <c r="G8" s="185" t="s">
        <v>53</v>
      </c>
      <c r="H8" s="186"/>
      <c r="I8" s="183">
        <f t="shared" si="1"/>
        <v>2413.6</v>
      </c>
      <c r="J8" s="184">
        <f t="shared" si="0"/>
        <v>0</v>
      </c>
    </row>
    <row r="9" spans="1:10" ht="16.5" thickTop="1" thickBot="1" x14ac:dyDescent="0.3">
      <c r="A9" s="38" t="s">
        <v>1419</v>
      </c>
      <c r="B9" s="39" t="s">
        <v>1420</v>
      </c>
      <c r="C9" s="182" t="s">
        <v>1418</v>
      </c>
      <c r="D9" s="183">
        <v>1718.3</v>
      </c>
      <c r="E9" s="183">
        <v>1808.5</v>
      </c>
      <c r="F9" s="184">
        <v>2098.4</v>
      </c>
      <c r="G9" s="185" t="s">
        <v>53</v>
      </c>
      <c r="H9" s="186"/>
      <c r="I9" s="183">
        <f t="shared" si="1"/>
        <v>2098.4</v>
      </c>
      <c r="J9" s="184">
        <f t="shared" si="0"/>
        <v>0</v>
      </c>
    </row>
    <row r="10" spans="1:10" ht="16.5" thickTop="1" thickBot="1" x14ac:dyDescent="0.3">
      <c r="A10" s="38" t="s">
        <v>1421</v>
      </c>
      <c r="B10" s="39" t="s">
        <v>1422</v>
      </c>
      <c r="C10" s="182" t="s">
        <v>1423</v>
      </c>
      <c r="D10" s="183">
        <v>1246.4000000000001</v>
      </c>
      <c r="E10" s="183">
        <v>1311.3</v>
      </c>
      <c r="F10" s="184">
        <v>1425.7</v>
      </c>
      <c r="G10" s="185" t="s">
        <v>53</v>
      </c>
      <c r="H10" s="186"/>
      <c r="I10" s="183">
        <f t="shared" si="1"/>
        <v>1425.7</v>
      </c>
      <c r="J10" s="184">
        <f t="shared" si="0"/>
        <v>0</v>
      </c>
    </row>
    <row r="11" spans="1:10" ht="16.5" thickTop="1" thickBot="1" x14ac:dyDescent="0.3">
      <c r="A11" s="38" t="s">
        <v>1424</v>
      </c>
      <c r="B11" s="39" t="s">
        <v>1425</v>
      </c>
      <c r="C11" s="182" t="s">
        <v>1418</v>
      </c>
      <c r="D11" s="183">
        <v>455.2</v>
      </c>
      <c r="E11" s="183">
        <v>477.9</v>
      </c>
      <c r="F11" s="184">
        <v>555.4</v>
      </c>
      <c r="G11" s="185" t="s">
        <v>53</v>
      </c>
      <c r="H11" s="186"/>
      <c r="I11" s="183">
        <f t="shared" si="1"/>
        <v>555.4</v>
      </c>
      <c r="J11" s="184">
        <f t="shared" si="0"/>
        <v>0</v>
      </c>
    </row>
    <row r="12" spans="1:10" ht="16.5" thickTop="1" thickBot="1" x14ac:dyDescent="0.3">
      <c r="A12" s="38" t="s">
        <v>1426</v>
      </c>
      <c r="B12" s="39" t="s">
        <v>1427</v>
      </c>
      <c r="C12" s="182" t="s">
        <v>1418</v>
      </c>
      <c r="D12" s="183">
        <v>902.5</v>
      </c>
      <c r="E12" s="183">
        <v>949.8</v>
      </c>
      <c r="F12" s="184">
        <v>1064.5</v>
      </c>
      <c r="G12" s="185" t="s">
        <v>53</v>
      </c>
      <c r="H12" s="186"/>
      <c r="I12" s="183">
        <f t="shared" si="1"/>
        <v>1064.5</v>
      </c>
      <c r="J12" s="184">
        <f t="shared" si="0"/>
        <v>0</v>
      </c>
    </row>
    <row r="13" spans="1:10" ht="16.5" thickTop="1" thickBot="1" x14ac:dyDescent="0.3">
      <c r="A13" s="221" t="s">
        <v>1428</v>
      </c>
      <c r="B13" s="222">
        <v>0</v>
      </c>
      <c r="C13" s="222">
        <v>0</v>
      </c>
      <c r="D13" s="222">
        <v>0</v>
      </c>
      <c r="E13" s="222">
        <v>0</v>
      </c>
      <c r="F13" s="223">
        <v>0</v>
      </c>
      <c r="G13" s="185" t="s">
        <v>44</v>
      </c>
      <c r="H13" s="186"/>
      <c r="I13" s="183"/>
      <c r="J13" s="184"/>
    </row>
    <row r="14" spans="1:10" ht="16.5" thickTop="1" thickBot="1" x14ac:dyDescent="0.3">
      <c r="A14" s="38" t="s">
        <v>1429</v>
      </c>
      <c r="B14" s="39" t="s">
        <v>1430</v>
      </c>
      <c r="C14" s="182" t="s">
        <v>1418</v>
      </c>
      <c r="D14" s="183">
        <v>1670.6</v>
      </c>
      <c r="E14" s="183">
        <v>1757.6</v>
      </c>
      <c r="F14" s="184">
        <v>1969.1</v>
      </c>
      <c r="G14" s="185" t="s">
        <v>53</v>
      </c>
      <c r="H14" s="186"/>
      <c r="I14" s="183">
        <f t="shared" si="1"/>
        <v>1969.1</v>
      </c>
      <c r="J14" s="184">
        <f t="shared" si="0"/>
        <v>0</v>
      </c>
    </row>
    <row r="15" spans="1:10" ht="16.5" thickTop="1" thickBot="1" x14ac:dyDescent="0.3">
      <c r="A15" s="38" t="s">
        <v>1431</v>
      </c>
      <c r="B15" s="39" t="s">
        <v>1432</v>
      </c>
      <c r="C15" s="182" t="s">
        <v>1418</v>
      </c>
      <c r="D15" s="286" t="s">
        <v>1433</v>
      </c>
      <c r="E15" s="287"/>
      <c r="F15" s="288"/>
      <c r="G15" s="185" t="s">
        <v>50</v>
      </c>
      <c r="H15" s="186"/>
      <c r="I15" s="183">
        <f t="shared" si="1"/>
        <v>0</v>
      </c>
      <c r="J15" s="184">
        <f t="shared" si="0"/>
        <v>0</v>
      </c>
    </row>
    <row r="16" spans="1:10" ht="16.5" thickTop="1" thickBot="1" x14ac:dyDescent="0.3">
      <c r="A16" s="38" t="s">
        <v>1434</v>
      </c>
      <c r="B16" s="39" t="s">
        <v>1435</v>
      </c>
      <c r="C16" s="182" t="s">
        <v>1418</v>
      </c>
      <c r="D16" s="183">
        <v>520.20000000000005</v>
      </c>
      <c r="E16" s="183">
        <v>546.29999999999995</v>
      </c>
      <c r="F16" s="184">
        <v>635.20000000000005</v>
      </c>
      <c r="G16" s="185" t="s">
        <v>53</v>
      </c>
      <c r="H16" s="186"/>
      <c r="I16" s="183">
        <f t="shared" si="1"/>
        <v>635.20000000000005</v>
      </c>
      <c r="J16" s="184">
        <f t="shared" si="0"/>
        <v>0</v>
      </c>
    </row>
    <row r="17" spans="1:10" ht="16.5" thickTop="1" thickBot="1" x14ac:dyDescent="0.3">
      <c r="A17" s="38" t="s">
        <v>1436</v>
      </c>
      <c r="B17" s="39" t="s">
        <v>1437</v>
      </c>
      <c r="C17" s="182" t="s">
        <v>1418</v>
      </c>
      <c r="D17" s="183">
        <v>321.3</v>
      </c>
      <c r="E17" s="183">
        <v>337.5</v>
      </c>
      <c r="F17" s="184">
        <v>392.3</v>
      </c>
      <c r="G17" s="185" t="s">
        <v>53</v>
      </c>
      <c r="H17" s="186"/>
      <c r="I17" s="183">
        <f t="shared" si="1"/>
        <v>392.3</v>
      </c>
      <c r="J17" s="184">
        <f t="shared" si="0"/>
        <v>0</v>
      </c>
    </row>
    <row r="18" spans="1:10" ht="16.5" thickTop="1" thickBot="1" x14ac:dyDescent="0.3">
      <c r="A18" s="38" t="s">
        <v>1438</v>
      </c>
      <c r="B18" s="39" t="s">
        <v>1439</v>
      </c>
      <c r="C18" s="182" t="s">
        <v>1418</v>
      </c>
      <c r="D18" s="183">
        <v>1985.2</v>
      </c>
      <c r="E18" s="183">
        <v>2089.6999999999998</v>
      </c>
      <c r="F18" s="184">
        <v>2339.8000000000002</v>
      </c>
      <c r="G18" s="185" t="s">
        <v>53</v>
      </c>
      <c r="H18" s="186"/>
      <c r="I18" s="183">
        <f t="shared" si="1"/>
        <v>2339.8000000000002</v>
      </c>
      <c r="J18" s="184">
        <f t="shared" si="0"/>
        <v>0</v>
      </c>
    </row>
    <row r="19" spans="1:10" ht="16.5" thickTop="1" thickBot="1" x14ac:dyDescent="0.3">
      <c r="A19" s="38" t="s">
        <v>1440</v>
      </c>
      <c r="B19" s="39" t="s">
        <v>1441</v>
      </c>
      <c r="C19" s="182" t="s">
        <v>1418</v>
      </c>
      <c r="D19" s="183">
        <v>5494</v>
      </c>
      <c r="E19" s="183">
        <v>5781.7</v>
      </c>
      <c r="F19" s="184">
        <v>6245.5</v>
      </c>
      <c r="G19" s="185" t="s">
        <v>53</v>
      </c>
      <c r="H19" s="186"/>
      <c r="I19" s="183">
        <f t="shared" si="1"/>
        <v>6245.5</v>
      </c>
      <c r="J19" s="184">
        <f t="shared" si="0"/>
        <v>0</v>
      </c>
    </row>
    <row r="20" spans="1:10" ht="16.5" thickTop="1" thickBot="1" x14ac:dyDescent="0.3">
      <c r="A20" s="38" t="s">
        <v>1442</v>
      </c>
      <c r="B20" s="39" t="s">
        <v>1443</v>
      </c>
      <c r="C20" s="182" t="s">
        <v>1418</v>
      </c>
      <c r="D20" s="183">
        <v>1526</v>
      </c>
      <c r="E20" s="183">
        <v>1606.4</v>
      </c>
      <c r="F20" s="184">
        <v>1799.2</v>
      </c>
      <c r="G20" s="185" t="s">
        <v>53</v>
      </c>
      <c r="H20" s="186"/>
      <c r="I20" s="183">
        <f t="shared" si="1"/>
        <v>1799.2</v>
      </c>
      <c r="J20" s="184">
        <f t="shared" si="0"/>
        <v>0</v>
      </c>
    </row>
    <row r="21" spans="1:10" ht="16.5" thickTop="1" thickBot="1" x14ac:dyDescent="0.3">
      <c r="A21" s="38" t="s">
        <v>1444</v>
      </c>
      <c r="B21" s="39" t="s">
        <v>1445</v>
      </c>
      <c r="C21" s="182" t="s">
        <v>1418</v>
      </c>
      <c r="D21" s="183">
        <v>3717.3</v>
      </c>
      <c r="E21" s="183">
        <v>3912.8</v>
      </c>
      <c r="F21" s="184">
        <v>4226</v>
      </c>
      <c r="G21" s="185" t="s">
        <v>53</v>
      </c>
      <c r="H21" s="186"/>
      <c r="I21" s="183">
        <f t="shared" si="1"/>
        <v>4226</v>
      </c>
      <c r="J21" s="184">
        <f t="shared" si="0"/>
        <v>0</v>
      </c>
    </row>
    <row r="22" spans="1:10" ht="16.5" thickTop="1" thickBot="1" x14ac:dyDescent="0.3">
      <c r="A22" s="38" t="s">
        <v>1446</v>
      </c>
      <c r="B22" s="39" t="s">
        <v>1447</v>
      </c>
      <c r="C22" s="182" t="s">
        <v>1418</v>
      </c>
      <c r="D22" s="183">
        <v>642.5</v>
      </c>
      <c r="E22" s="183">
        <v>676.1</v>
      </c>
      <c r="F22" s="184">
        <v>784.5</v>
      </c>
      <c r="G22" s="185" t="s">
        <v>53</v>
      </c>
      <c r="H22" s="186"/>
      <c r="I22" s="183">
        <f t="shared" si="1"/>
        <v>784.5</v>
      </c>
      <c r="J22" s="184">
        <f t="shared" si="0"/>
        <v>0</v>
      </c>
    </row>
    <row r="23" spans="1:10" ht="16.5" thickTop="1" thickBot="1" x14ac:dyDescent="0.3">
      <c r="A23" s="38" t="s">
        <v>1448</v>
      </c>
      <c r="B23" s="39" t="s">
        <v>1449</v>
      </c>
      <c r="C23" s="182" t="s">
        <v>1418</v>
      </c>
      <c r="D23" s="183">
        <v>311.8</v>
      </c>
      <c r="E23" s="183">
        <v>328.1</v>
      </c>
      <c r="F23" s="184">
        <v>380.2</v>
      </c>
      <c r="G23" s="185" t="s">
        <v>53</v>
      </c>
      <c r="H23" s="186"/>
      <c r="I23" s="183">
        <f t="shared" si="1"/>
        <v>380.2</v>
      </c>
      <c r="J23" s="184">
        <f t="shared" si="0"/>
        <v>0</v>
      </c>
    </row>
    <row r="24" spans="1:10" ht="16.5" thickTop="1" thickBot="1" x14ac:dyDescent="0.3">
      <c r="A24" s="38" t="s">
        <v>1450</v>
      </c>
      <c r="B24" s="39" t="s">
        <v>1451</v>
      </c>
      <c r="C24" s="182" t="s">
        <v>1418</v>
      </c>
      <c r="D24" s="286" t="s">
        <v>1433</v>
      </c>
      <c r="E24" s="287"/>
      <c r="F24" s="288"/>
      <c r="G24" s="185" t="s">
        <v>50</v>
      </c>
      <c r="H24" s="186"/>
      <c r="I24" s="183">
        <f t="shared" si="1"/>
        <v>0</v>
      </c>
      <c r="J24" s="184">
        <f t="shared" si="0"/>
        <v>0</v>
      </c>
    </row>
    <row r="25" spans="1:10" ht="16.5" thickTop="1" thickBot="1" x14ac:dyDescent="0.3">
      <c r="A25" s="38" t="s">
        <v>1452</v>
      </c>
      <c r="B25" s="39" t="s">
        <v>1453</v>
      </c>
      <c r="C25" s="182" t="s">
        <v>1418</v>
      </c>
      <c r="D25" s="183">
        <v>875.2</v>
      </c>
      <c r="E25" s="183">
        <v>922.2</v>
      </c>
      <c r="F25" s="184">
        <v>1039.0999999999999</v>
      </c>
      <c r="G25" s="185" t="s">
        <v>53</v>
      </c>
      <c r="H25" s="186"/>
      <c r="I25" s="183">
        <f t="shared" si="1"/>
        <v>1039.0999999999999</v>
      </c>
      <c r="J25" s="184">
        <f t="shared" si="0"/>
        <v>0</v>
      </c>
    </row>
    <row r="26" spans="1:10" ht="16.5" thickTop="1" thickBot="1" x14ac:dyDescent="0.3">
      <c r="A26" s="38" t="s">
        <v>1454</v>
      </c>
      <c r="B26" s="39" t="s">
        <v>1455</v>
      </c>
      <c r="C26" s="182" t="s">
        <v>1418</v>
      </c>
      <c r="D26" s="183">
        <v>210.1</v>
      </c>
      <c r="E26" s="183">
        <v>222.2</v>
      </c>
      <c r="F26" s="184">
        <v>257</v>
      </c>
      <c r="G26" s="185" t="s">
        <v>53</v>
      </c>
      <c r="H26" s="186"/>
      <c r="I26" s="183">
        <f t="shared" si="1"/>
        <v>257</v>
      </c>
      <c r="J26" s="184">
        <f t="shared" si="0"/>
        <v>0</v>
      </c>
    </row>
    <row r="27" spans="1:10" ht="16.5" thickTop="1" thickBot="1" x14ac:dyDescent="0.3">
      <c r="A27" s="38" t="s">
        <v>1456</v>
      </c>
      <c r="B27" s="39" t="s">
        <v>1457</v>
      </c>
      <c r="C27" s="182" t="s">
        <v>1418</v>
      </c>
      <c r="D27" s="183">
        <v>114.8</v>
      </c>
      <c r="E27" s="183">
        <v>121.7</v>
      </c>
      <c r="F27" s="184">
        <v>135.4</v>
      </c>
      <c r="G27" s="185" t="s">
        <v>53</v>
      </c>
      <c r="H27" s="186"/>
      <c r="I27" s="183">
        <f t="shared" si="1"/>
        <v>135.4</v>
      </c>
      <c r="J27" s="184">
        <f t="shared" si="0"/>
        <v>0</v>
      </c>
    </row>
    <row r="28" spans="1:10" ht="16.5" thickTop="1" thickBot="1" x14ac:dyDescent="0.3">
      <c r="A28" s="38" t="s">
        <v>1458</v>
      </c>
      <c r="B28" s="39" t="s">
        <v>1459</v>
      </c>
      <c r="C28" s="182" t="s">
        <v>1418</v>
      </c>
      <c r="D28" s="183">
        <v>97.6</v>
      </c>
      <c r="E28" s="183">
        <v>103.1</v>
      </c>
      <c r="F28" s="184">
        <v>119.2</v>
      </c>
      <c r="G28" s="185" t="s">
        <v>53</v>
      </c>
      <c r="H28" s="186"/>
      <c r="I28" s="183">
        <f t="shared" si="1"/>
        <v>119.2</v>
      </c>
      <c r="J28" s="184">
        <f t="shared" si="0"/>
        <v>0</v>
      </c>
    </row>
    <row r="29" spans="1:10" ht="16.5" thickTop="1" thickBot="1" x14ac:dyDescent="0.3">
      <c r="A29" s="38" t="s">
        <v>1460</v>
      </c>
      <c r="B29" s="39" t="s">
        <v>1461</v>
      </c>
      <c r="C29" s="182" t="s">
        <v>1418</v>
      </c>
      <c r="D29" s="286" t="s">
        <v>1433</v>
      </c>
      <c r="E29" s="287"/>
      <c r="F29" s="288"/>
      <c r="G29" s="185" t="s">
        <v>50</v>
      </c>
      <c r="H29" s="186"/>
      <c r="I29" s="183">
        <f t="shared" si="1"/>
        <v>0</v>
      </c>
      <c r="J29" s="184">
        <f t="shared" si="0"/>
        <v>0</v>
      </c>
    </row>
    <row r="30" spans="1:10" ht="16.5" thickTop="1" thickBot="1" x14ac:dyDescent="0.3">
      <c r="A30" s="38" t="s">
        <v>1462</v>
      </c>
      <c r="B30" s="39" t="s">
        <v>1463</v>
      </c>
      <c r="C30" s="182" t="s">
        <v>1418</v>
      </c>
      <c r="D30" s="183">
        <v>334.8</v>
      </c>
      <c r="E30" s="183">
        <v>352.1</v>
      </c>
      <c r="F30" s="184">
        <v>408.4</v>
      </c>
      <c r="G30" s="185" t="s">
        <v>53</v>
      </c>
      <c r="H30" s="186"/>
      <c r="I30" s="183">
        <f t="shared" si="1"/>
        <v>408.4</v>
      </c>
      <c r="J30" s="184">
        <f t="shared" si="0"/>
        <v>0</v>
      </c>
    </row>
    <row r="31" spans="1:10" ht="16.5" thickTop="1" thickBot="1" x14ac:dyDescent="0.3">
      <c r="A31" s="38" t="s">
        <v>1464</v>
      </c>
      <c r="B31" s="39" t="s">
        <v>1465</v>
      </c>
      <c r="C31" s="182" t="s">
        <v>1418</v>
      </c>
      <c r="D31" s="183">
        <v>322</v>
      </c>
      <c r="E31" s="183">
        <v>338.3</v>
      </c>
      <c r="F31" s="184">
        <v>392.8</v>
      </c>
      <c r="G31" s="185" t="s">
        <v>53</v>
      </c>
      <c r="H31" s="186"/>
      <c r="I31" s="183">
        <f t="shared" si="1"/>
        <v>392.8</v>
      </c>
      <c r="J31" s="184">
        <f t="shared" si="0"/>
        <v>0</v>
      </c>
    </row>
    <row r="32" spans="1:10" ht="16.5" thickTop="1" thickBot="1" x14ac:dyDescent="0.3">
      <c r="A32" s="38" t="s">
        <v>1466</v>
      </c>
      <c r="B32" s="39" t="s">
        <v>1467</v>
      </c>
      <c r="C32" s="182" t="s">
        <v>1418</v>
      </c>
      <c r="D32" s="183">
        <v>200.9</v>
      </c>
      <c r="E32" s="183">
        <v>211.5</v>
      </c>
      <c r="F32" s="184">
        <v>245.1</v>
      </c>
      <c r="G32" s="185" t="s">
        <v>53</v>
      </c>
      <c r="H32" s="186"/>
      <c r="I32" s="183">
        <f t="shared" si="1"/>
        <v>245.1</v>
      </c>
      <c r="J32" s="184">
        <f t="shared" si="0"/>
        <v>0</v>
      </c>
    </row>
    <row r="33" spans="1:10" ht="16.5" thickTop="1" thickBot="1" x14ac:dyDescent="0.3">
      <c r="A33" s="38" t="s">
        <v>1468</v>
      </c>
      <c r="B33" s="39" t="s">
        <v>1469</v>
      </c>
      <c r="C33" s="182" t="s">
        <v>1418</v>
      </c>
      <c r="D33" s="183">
        <v>200.9</v>
      </c>
      <c r="E33" s="183">
        <v>211.5</v>
      </c>
      <c r="F33" s="184">
        <v>245.1</v>
      </c>
      <c r="G33" s="185" t="s">
        <v>53</v>
      </c>
      <c r="H33" s="186"/>
      <c r="I33" s="183">
        <f t="shared" si="1"/>
        <v>245.1</v>
      </c>
      <c r="J33" s="184">
        <f t="shared" si="0"/>
        <v>0</v>
      </c>
    </row>
    <row r="34" spans="1:10" ht="16.5" thickTop="1" thickBot="1" x14ac:dyDescent="0.3">
      <c r="A34" s="38" t="s">
        <v>1470</v>
      </c>
      <c r="B34" s="39" t="s">
        <v>1471</v>
      </c>
      <c r="C34" s="182" t="s">
        <v>1418</v>
      </c>
      <c r="D34" s="183">
        <v>329.2</v>
      </c>
      <c r="E34" s="183">
        <v>346.6</v>
      </c>
      <c r="F34" s="184">
        <v>403</v>
      </c>
      <c r="G34" s="185" t="s">
        <v>53</v>
      </c>
      <c r="H34" s="186"/>
      <c r="I34" s="183">
        <f t="shared" si="1"/>
        <v>403</v>
      </c>
      <c r="J34" s="184">
        <f t="shared" si="0"/>
        <v>0</v>
      </c>
    </row>
    <row r="35" spans="1:10" ht="16.5" thickTop="1" thickBot="1" x14ac:dyDescent="0.3">
      <c r="A35" s="38" t="s">
        <v>1472</v>
      </c>
      <c r="B35" s="39" t="s">
        <v>1473</v>
      </c>
      <c r="C35" s="182" t="s">
        <v>1418</v>
      </c>
      <c r="D35" s="286" t="s">
        <v>1433</v>
      </c>
      <c r="E35" s="287"/>
      <c r="F35" s="288"/>
      <c r="G35" s="185" t="s">
        <v>50</v>
      </c>
      <c r="H35" s="186"/>
      <c r="I35" s="183">
        <f t="shared" si="1"/>
        <v>0</v>
      </c>
      <c r="J35" s="184">
        <f t="shared" si="0"/>
        <v>0</v>
      </c>
    </row>
    <row r="36" spans="1:10" ht="16.5" thickTop="1" thickBot="1" x14ac:dyDescent="0.3">
      <c r="A36" s="38" t="s">
        <v>1474</v>
      </c>
      <c r="B36" s="39" t="s">
        <v>1475</v>
      </c>
      <c r="C36" s="182" t="s">
        <v>1418</v>
      </c>
      <c r="D36" s="183">
        <v>326.60000000000002</v>
      </c>
      <c r="E36" s="183">
        <v>344.1</v>
      </c>
      <c r="F36" s="184">
        <v>398.9</v>
      </c>
      <c r="G36" s="185" t="s">
        <v>53</v>
      </c>
      <c r="H36" s="186"/>
      <c r="I36" s="183">
        <f t="shared" si="1"/>
        <v>398.9</v>
      </c>
      <c r="J36" s="184">
        <f t="shared" si="0"/>
        <v>0</v>
      </c>
    </row>
    <row r="37" spans="1:10" ht="16.5" thickTop="1" thickBot="1" x14ac:dyDescent="0.3">
      <c r="A37" s="38" t="s">
        <v>1476</v>
      </c>
      <c r="B37" s="39" t="s">
        <v>1477</v>
      </c>
      <c r="C37" s="182" t="s">
        <v>1418</v>
      </c>
      <c r="D37" s="286" t="s">
        <v>1433</v>
      </c>
      <c r="E37" s="287"/>
      <c r="F37" s="288"/>
      <c r="G37" s="185" t="s">
        <v>50</v>
      </c>
      <c r="H37" s="186"/>
      <c r="I37" s="183">
        <f t="shared" si="1"/>
        <v>0</v>
      </c>
      <c r="J37" s="184">
        <f t="shared" si="0"/>
        <v>0</v>
      </c>
    </row>
    <row r="38" spans="1:10" ht="16.5" thickTop="1" thickBot="1" x14ac:dyDescent="0.3">
      <c r="A38" s="38" t="s">
        <v>1478</v>
      </c>
      <c r="B38" s="39" t="s">
        <v>1479</v>
      </c>
      <c r="C38" s="182" t="s">
        <v>1418</v>
      </c>
      <c r="D38" s="183">
        <v>1170</v>
      </c>
      <c r="E38" s="183">
        <v>1231.5</v>
      </c>
      <c r="F38" s="184">
        <v>1428.2</v>
      </c>
      <c r="G38" s="185" t="s">
        <v>53</v>
      </c>
      <c r="H38" s="186"/>
      <c r="I38" s="183">
        <f t="shared" si="1"/>
        <v>1428.2</v>
      </c>
      <c r="J38" s="184">
        <f t="shared" si="0"/>
        <v>0</v>
      </c>
    </row>
    <row r="39" spans="1:10" ht="16.5" thickTop="1" thickBot="1" x14ac:dyDescent="0.3">
      <c r="A39" s="38" t="s">
        <v>1480</v>
      </c>
      <c r="B39" s="39" t="s">
        <v>1481</v>
      </c>
      <c r="C39" s="182" t="s">
        <v>1418</v>
      </c>
      <c r="D39" s="183">
        <v>535.4</v>
      </c>
      <c r="E39" s="183">
        <v>563.70000000000005</v>
      </c>
      <c r="F39" s="184">
        <v>631.9</v>
      </c>
      <c r="G39" s="185" t="s">
        <v>53</v>
      </c>
      <c r="H39" s="186"/>
      <c r="I39" s="183">
        <f t="shared" si="1"/>
        <v>631.9</v>
      </c>
      <c r="J39" s="184">
        <f t="shared" si="0"/>
        <v>0</v>
      </c>
    </row>
    <row r="40" spans="1:10" ht="16.5" thickTop="1" thickBot="1" x14ac:dyDescent="0.3">
      <c r="A40" s="38" t="s">
        <v>1482</v>
      </c>
      <c r="B40" s="39" t="s">
        <v>1483</v>
      </c>
      <c r="C40" s="182" t="s">
        <v>1418</v>
      </c>
      <c r="D40" s="183">
        <v>1623</v>
      </c>
      <c r="E40" s="183">
        <v>1707.8</v>
      </c>
      <c r="F40" s="184">
        <v>1858.1</v>
      </c>
      <c r="G40" s="185" t="s">
        <v>53</v>
      </c>
      <c r="H40" s="186"/>
      <c r="I40" s="183">
        <f t="shared" si="1"/>
        <v>1858.1</v>
      </c>
      <c r="J40" s="184">
        <f t="shared" si="0"/>
        <v>0</v>
      </c>
    </row>
    <row r="41" spans="1:10" ht="16.5" thickTop="1" thickBot="1" x14ac:dyDescent="0.3">
      <c r="A41" s="38" t="s">
        <v>1484</v>
      </c>
      <c r="B41" s="39" t="s">
        <v>1485</v>
      </c>
      <c r="C41" s="182" t="s">
        <v>1418</v>
      </c>
      <c r="D41" s="286" t="s">
        <v>1433</v>
      </c>
      <c r="E41" s="287"/>
      <c r="F41" s="288"/>
      <c r="G41" s="185" t="s">
        <v>50</v>
      </c>
      <c r="H41" s="186"/>
      <c r="I41" s="183">
        <f t="shared" si="1"/>
        <v>0</v>
      </c>
      <c r="J41" s="184">
        <f t="shared" si="0"/>
        <v>0</v>
      </c>
    </row>
    <row r="42" spans="1:10" ht="16.5" thickTop="1" thickBot="1" x14ac:dyDescent="0.3">
      <c r="A42" s="38" t="s">
        <v>1486</v>
      </c>
      <c r="B42" s="39" t="s">
        <v>1487</v>
      </c>
      <c r="C42" s="182" t="s">
        <v>1418</v>
      </c>
      <c r="D42" s="183">
        <v>832.7</v>
      </c>
      <c r="E42" s="183">
        <v>875.5</v>
      </c>
      <c r="F42" s="184">
        <v>981.2</v>
      </c>
      <c r="G42" s="185" t="s">
        <v>53</v>
      </c>
      <c r="H42" s="186"/>
      <c r="I42" s="183">
        <f t="shared" si="1"/>
        <v>981.2</v>
      </c>
      <c r="J42" s="184">
        <f t="shared" si="0"/>
        <v>0</v>
      </c>
    </row>
    <row r="43" spans="1:10" ht="16.5" thickTop="1" thickBot="1" x14ac:dyDescent="0.3">
      <c r="A43" s="38" t="s">
        <v>1488</v>
      </c>
      <c r="B43" s="39" t="s">
        <v>1489</v>
      </c>
      <c r="C43" s="182" t="s">
        <v>1418</v>
      </c>
      <c r="D43" s="183">
        <v>2752.4</v>
      </c>
      <c r="E43" s="183">
        <v>2896.7</v>
      </c>
      <c r="F43" s="184">
        <v>3128.2</v>
      </c>
      <c r="G43" s="185" t="s">
        <v>53</v>
      </c>
      <c r="H43" s="186"/>
      <c r="I43" s="183">
        <f t="shared" si="1"/>
        <v>3128.2</v>
      </c>
      <c r="J43" s="184">
        <f t="shared" si="0"/>
        <v>0</v>
      </c>
    </row>
    <row r="44" spans="1:10" ht="16.5" thickTop="1" thickBot="1" x14ac:dyDescent="0.3">
      <c r="A44" s="38" t="s">
        <v>1490</v>
      </c>
      <c r="B44" s="39" t="s">
        <v>1491</v>
      </c>
      <c r="C44" s="182" t="s">
        <v>1418</v>
      </c>
      <c r="D44" s="183">
        <v>123.3</v>
      </c>
      <c r="E44" s="183">
        <v>128.5</v>
      </c>
      <c r="F44" s="184">
        <v>150</v>
      </c>
      <c r="G44" s="185" t="s">
        <v>53</v>
      </c>
      <c r="H44" s="186"/>
      <c r="I44" s="183">
        <f t="shared" si="1"/>
        <v>150</v>
      </c>
      <c r="J44" s="184">
        <f t="shared" si="0"/>
        <v>0</v>
      </c>
    </row>
    <row r="45" spans="1:10" ht="16.5" thickTop="1" thickBot="1" x14ac:dyDescent="0.3">
      <c r="A45" s="38" t="s">
        <v>1492</v>
      </c>
      <c r="B45" s="39" t="s">
        <v>1493</v>
      </c>
      <c r="C45" s="182" t="s">
        <v>1418</v>
      </c>
      <c r="D45" s="183">
        <v>267.60000000000002</v>
      </c>
      <c r="E45" s="183">
        <v>281.2</v>
      </c>
      <c r="F45" s="184">
        <v>326.60000000000002</v>
      </c>
      <c r="G45" s="185" t="s">
        <v>53</v>
      </c>
      <c r="H45" s="186"/>
      <c r="I45" s="183">
        <f t="shared" si="1"/>
        <v>326.60000000000002</v>
      </c>
      <c r="J45" s="184">
        <f t="shared" si="0"/>
        <v>0</v>
      </c>
    </row>
    <row r="46" spans="1:10" ht="27" thickTop="1" thickBot="1" x14ac:dyDescent="0.3">
      <c r="A46" s="38" t="s">
        <v>1494</v>
      </c>
      <c r="B46" s="39" t="s">
        <v>1495</v>
      </c>
      <c r="C46" s="182" t="s">
        <v>1418</v>
      </c>
      <c r="D46" s="183">
        <v>4771.8</v>
      </c>
      <c r="E46" s="183">
        <v>5023</v>
      </c>
      <c r="F46" s="184">
        <v>5424.5</v>
      </c>
      <c r="G46" s="185" t="s">
        <v>53</v>
      </c>
      <c r="H46" s="186"/>
      <c r="I46" s="183">
        <f t="shared" si="1"/>
        <v>5424.5</v>
      </c>
      <c r="J46" s="184">
        <f t="shared" si="0"/>
        <v>0</v>
      </c>
    </row>
    <row r="47" spans="1:10" ht="16.5" thickTop="1" thickBot="1" x14ac:dyDescent="0.3">
      <c r="A47" s="38" t="s">
        <v>1496</v>
      </c>
      <c r="B47" s="39" t="s">
        <v>1497</v>
      </c>
      <c r="C47" s="182" t="s">
        <v>1418</v>
      </c>
      <c r="D47" s="183">
        <v>507.2</v>
      </c>
      <c r="E47" s="183">
        <v>534.1</v>
      </c>
      <c r="F47" s="184">
        <v>619.9</v>
      </c>
      <c r="G47" s="185" t="s">
        <v>53</v>
      </c>
      <c r="H47" s="186"/>
      <c r="I47" s="183">
        <f t="shared" si="1"/>
        <v>619.9</v>
      </c>
      <c r="J47" s="184">
        <f t="shared" si="0"/>
        <v>0</v>
      </c>
    </row>
    <row r="48" spans="1:10" ht="16.5" thickTop="1" thickBot="1" x14ac:dyDescent="0.3">
      <c r="A48" s="38" t="s">
        <v>1498</v>
      </c>
      <c r="B48" s="39" t="s">
        <v>1499</v>
      </c>
      <c r="C48" s="182" t="s">
        <v>1418</v>
      </c>
      <c r="D48" s="183">
        <v>539.4</v>
      </c>
      <c r="E48" s="183">
        <v>568.5</v>
      </c>
      <c r="F48" s="184">
        <v>659</v>
      </c>
      <c r="G48" s="185" t="s">
        <v>53</v>
      </c>
      <c r="H48" s="186"/>
      <c r="I48" s="183">
        <f t="shared" si="1"/>
        <v>659</v>
      </c>
      <c r="J48" s="184">
        <f t="shared" si="0"/>
        <v>0</v>
      </c>
    </row>
    <row r="49" spans="1:10" ht="16.5" thickTop="1" thickBot="1" x14ac:dyDescent="0.3">
      <c r="A49" s="38" t="s">
        <v>1500</v>
      </c>
      <c r="B49" s="39" t="s">
        <v>1501</v>
      </c>
      <c r="C49" s="182" t="s">
        <v>1418</v>
      </c>
      <c r="D49" s="183">
        <v>589.1</v>
      </c>
      <c r="E49" s="183">
        <v>620.9</v>
      </c>
      <c r="F49" s="184">
        <v>720.3</v>
      </c>
      <c r="G49" s="185" t="s">
        <v>53</v>
      </c>
      <c r="H49" s="186"/>
      <c r="I49" s="183">
        <f t="shared" si="1"/>
        <v>720.3</v>
      </c>
      <c r="J49" s="184">
        <f t="shared" si="0"/>
        <v>0</v>
      </c>
    </row>
    <row r="50" spans="1:10" ht="16.5" thickTop="1" thickBot="1" x14ac:dyDescent="0.3">
      <c r="A50" s="38" t="s">
        <v>1502</v>
      </c>
      <c r="B50" s="39" t="s">
        <v>1503</v>
      </c>
      <c r="C50" s="182" t="s">
        <v>1418</v>
      </c>
      <c r="D50" s="183">
        <v>376.2</v>
      </c>
      <c r="E50" s="183">
        <v>394.8</v>
      </c>
      <c r="F50" s="184">
        <v>457.7</v>
      </c>
      <c r="G50" s="185" t="s">
        <v>53</v>
      </c>
      <c r="H50" s="186"/>
      <c r="I50" s="183">
        <f t="shared" si="1"/>
        <v>457.7</v>
      </c>
      <c r="J50" s="184">
        <f t="shared" si="0"/>
        <v>0</v>
      </c>
    </row>
    <row r="51" spans="1:10" ht="27" thickTop="1" thickBot="1" x14ac:dyDescent="0.3">
      <c r="A51" s="38" t="s">
        <v>1504</v>
      </c>
      <c r="B51" s="39" t="s">
        <v>1505</v>
      </c>
      <c r="C51" s="182" t="s">
        <v>1418</v>
      </c>
      <c r="D51" s="183">
        <v>468.6</v>
      </c>
      <c r="E51" s="183">
        <v>494.1</v>
      </c>
      <c r="F51" s="184">
        <v>572.9</v>
      </c>
      <c r="G51" s="185" t="s">
        <v>50</v>
      </c>
      <c r="H51" s="186"/>
      <c r="I51" s="183">
        <f t="shared" si="1"/>
        <v>0</v>
      </c>
      <c r="J51" s="184">
        <f t="shared" si="0"/>
        <v>0</v>
      </c>
    </row>
    <row r="52" spans="1:10" ht="16.5" thickTop="1" thickBot="1" x14ac:dyDescent="0.3">
      <c r="A52" s="38" t="s">
        <v>1506</v>
      </c>
      <c r="B52" s="39" t="s">
        <v>1507</v>
      </c>
      <c r="C52" s="182" t="s">
        <v>1418</v>
      </c>
      <c r="D52" s="183">
        <v>1227.5</v>
      </c>
      <c r="E52" s="183">
        <v>1291.7</v>
      </c>
      <c r="F52" s="184">
        <v>1447.1</v>
      </c>
      <c r="G52" s="185" t="s">
        <v>53</v>
      </c>
      <c r="H52" s="186"/>
      <c r="I52" s="183">
        <f t="shared" si="1"/>
        <v>1447.1</v>
      </c>
      <c r="J52" s="184">
        <f t="shared" si="0"/>
        <v>0</v>
      </c>
    </row>
    <row r="53" spans="1:10" ht="16.5" thickTop="1" thickBot="1" x14ac:dyDescent="0.3">
      <c r="A53" s="38" t="s">
        <v>1508</v>
      </c>
      <c r="B53" s="39" t="s">
        <v>1509</v>
      </c>
      <c r="C53" s="182" t="s">
        <v>1418</v>
      </c>
      <c r="D53" s="286" t="s">
        <v>1433</v>
      </c>
      <c r="E53" s="287"/>
      <c r="F53" s="288"/>
      <c r="G53" s="185" t="s">
        <v>50</v>
      </c>
      <c r="H53" s="186"/>
      <c r="I53" s="183">
        <f t="shared" si="1"/>
        <v>0</v>
      </c>
      <c r="J53" s="184">
        <f t="shared" si="0"/>
        <v>0</v>
      </c>
    </row>
    <row r="54" spans="1:10" ht="16.5" thickTop="1" thickBot="1" x14ac:dyDescent="0.3">
      <c r="A54" s="38" t="s">
        <v>1510</v>
      </c>
      <c r="B54" s="39" t="s">
        <v>1511</v>
      </c>
      <c r="C54" s="182" t="s">
        <v>1418</v>
      </c>
      <c r="D54" s="183">
        <v>1757.6</v>
      </c>
      <c r="E54" s="183">
        <v>1850.1</v>
      </c>
      <c r="F54" s="184">
        <v>2072.1999999999998</v>
      </c>
      <c r="G54" s="185" t="s">
        <v>53</v>
      </c>
      <c r="H54" s="186"/>
      <c r="I54" s="183">
        <f t="shared" si="1"/>
        <v>2072.1999999999998</v>
      </c>
      <c r="J54" s="184">
        <f t="shared" si="0"/>
        <v>0</v>
      </c>
    </row>
    <row r="55" spans="1:10" ht="16.5" thickTop="1" thickBot="1" x14ac:dyDescent="0.3">
      <c r="A55" s="38" t="s">
        <v>1512</v>
      </c>
      <c r="B55" s="39" t="s">
        <v>1513</v>
      </c>
      <c r="C55" s="182" t="s">
        <v>1418</v>
      </c>
      <c r="D55" s="183">
        <v>1263.7</v>
      </c>
      <c r="E55" s="183">
        <v>1329.3</v>
      </c>
      <c r="F55" s="184">
        <v>1488.7</v>
      </c>
      <c r="G55" s="185" t="s">
        <v>53</v>
      </c>
      <c r="H55" s="186"/>
      <c r="I55" s="183">
        <f t="shared" si="1"/>
        <v>1488.7</v>
      </c>
      <c r="J55" s="184">
        <f t="shared" si="0"/>
        <v>0</v>
      </c>
    </row>
    <row r="56" spans="1:10" ht="16.5" thickTop="1" thickBot="1" x14ac:dyDescent="0.3">
      <c r="A56" s="38" t="s">
        <v>1514</v>
      </c>
      <c r="B56" s="39" t="s">
        <v>1515</v>
      </c>
      <c r="C56" s="182" t="s">
        <v>1418</v>
      </c>
      <c r="D56" s="183">
        <v>1727.6</v>
      </c>
      <c r="E56" s="183">
        <v>1817.7</v>
      </c>
      <c r="F56" s="184">
        <v>2036.2</v>
      </c>
      <c r="G56" s="185" t="s">
        <v>53</v>
      </c>
      <c r="H56" s="186"/>
      <c r="I56" s="183">
        <f t="shared" si="1"/>
        <v>2036.2</v>
      </c>
      <c r="J56" s="184">
        <f t="shared" si="0"/>
        <v>0</v>
      </c>
    </row>
    <row r="57" spans="1:10" ht="16.5" thickTop="1" thickBot="1" x14ac:dyDescent="0.3">
      <c r="A57" s="38" t="s">
        <v>1516</v>
      </c>
      <c r="B57" s="39" t="s">
        <v>1517</v>
      </c>
      <c r="C57" s="182" t="s">
        <v>1418</v>
      </c>
      <c r="D57" s="286" t="s">
        <v>1433</v>
      </c>
      <c r="E57" s="287"/>
      <c r="F57" s="288"/>
      <c r="G57" s="185" t="s">
        <v>50</v>
      </c>
      <c r="H57" s="186"/>
      <c r="I57" s="183">
        <f t="shared" si="1"/>
        <v>0</v>
      </c>
      <c r="J57" s="184">
        <f t="shared" si="0"/>
        <v>0</v>
      </c>
    </row>
    <row r="58" spans="1:10" ht="16.5" thickTop="1" thickBot="1" x14ac:dyDescent="0.3">
      <c r="A58" s="38" t="s">
        <v>1518</v>
      </c>
      <c r="B58" s="39" t="s">
        <v>1519</v>
      </c>
      <c r="C58" s="182" t="s">
        <v>1418</v>
      </c>
      <c r="D58" s="183">
        <v>1710.4</v>
      </c>
      <c r="E58" s="183">
        <v>1800.2</v>
      </c>
      <c r="F58" s="184">
        <v>2016</v>
      </c>
      <c r="G58" s="185" t="s">
        <v>53</v>
      </c>
      <c r="H58" s="186"/>
      <c r="I58" s="183">
        <f t="shared" si="1"/>
        <v>2016</v>
      </c>
      <c r="J58" s="184">
        <f t="shared" si="0"/>
        <v>0</v>
      </c>
    </row>
    <row r="59" spans="1:10" ht="16.5" thickTop="1" thickBot="1" x14ac:dyDescent="0.3">
      <c r="A59" s="38" t="s">
        <v>1520</v>
      </c>
      <c r="B59" s="39" t="s">
        <v>1521</v>
      </c>
      <c r="C59" s="182" t="s">
        <v>1418</v>
      </c>
      <c r="D59" s="183">
        <v>466.5</v>
      </c>
      <c r="E59" s="183">
        <v>490.7</v>
      </c>
      <c r="F59" s="184">
        <v>569.9</v>
      </c>
      <c r="G59" s="185" t="s">
        <v>53</v>
      </c>
      <c r="H59" s="186"/>
      <c r="I59" s="183">
        <f t="shared" si="1"/>
        <v>569.9</v>
      </c>
      <c r="J59" s="184">
        <f t="shared" si="0"/>
        <v>0</v>
      </c>
    </row>
    <row r="60" spans="1:10" ht="16.5" thickTop="1" thickBot="1" x14ac:dyDescent="0.3">
      <c r="A60" s="38" t="s">
        <v>1522</v>
      </c>
      <c r="B60" s="39" t="s">
        <v>1523</v>
      </c>
      <c r="C60" s="182" t="s">
        <v>1418</v>
      </c>
      <c r="D60" s="183">
        <v>1710.4</v>
      </c>
      <c r="E60" s="183">
        <v>1800.2</v>
      </c>
      <c r="F60" s="184">
        <v>2016</v>
      </c>
      <c r="G60" s="185" t="s">
        <v>53</v>
      </c>
      <c r="H60" s="186"/>
      <c r="I60" s="183">
        <f t="shared" si="1"/>
        <v>2016</v>
      </c>
      <c r="J60" s="184">
        <f t="shared" si="0"/>
        <v>0</v>
      </c>
    </row>
    <row r="61" spans="1:10" ht="16.5" thickTop="1" thickBot="1" x14ac:dyDescent="0.3">
      <c r="A61" s="38" t="s">
        <v>1524</v>
      </c>
      <c r="B61" s="39" t="s">
        <v>1525</v>
      </c>
      <c r="C61" s="182" t="s">
        <v>1418</v>
      </c>
      <c r="D61" s="183">
        <v>1645.6</v>
      </c>
      <c r="E61" s="183">
        <v>1732.8</v>
      </c>
      <c r="F61" s="184">
        <v>1940.7</v>
      </c>
      <c r="G61" s="185" t="s">
        <v>53</v>
      </c>
      <c r="H61" s="186"/>
      <c r="I61" s="183">
        <f t="shared" si="1"/>
        <v>1940.7</v>
      </c>
      <c r="J61" s="184">
        <f t="shared" si="0"/>
        <v>0</v>
      </c>
    </row>
    <row r="62" spans="1:10" ht="16.5" thickTop="1" thickBot="1" x14ac:dyDescent="0.3">
      <c r="A62" s="221" t="s">
        <v>1526</v>
      </c>
      <c r="B62" s="222">
        <v>0</v>
      </c>
      <c r="C62" s="222">
        <v>0</v>
      </c>
      <c r="D62" s="222">
        <v>0</v>
      </c>
      <c r="E62" s="222">
        <v>0</v>
      </c>
      <c r="F62" s="223">
        <v>0</v>
      </c>
      <c r="G62" s="185" t="s">
        <v>44</v>
      </c>
      <c r="H62" s="186"/>
      <c r="I62" s="183"/>
      <c r="J62" s="184"/>
    </row>
    <row r="63" spans="1:10" ht="16.5" thickTop="1" thickBot="1" x14ac:dyDescent="0.3">
      <c r="A63" s="38" t="s">
        <v>1527</v>
      </c>
      <c r="B63" s="39" t="s">
        <v>1528</v>
      </c>
      <c r="C63" s="182" t="s">
        <v>1418</v>
      </c>
      <c r="D63" s="183">
        <v>1767.8</v>
      </c>
      <c r="E63" s="183">
        <v>1860.7</v>
      </c>
      <c r="F63" s="184">
        <v>2084.8000000000002</v>
      </c>
      <c r="G63" s="185" t="s">
        <v>53</v>
      </c>
      <c r="H63" s="186"/>
      <c r="I63" s="183">
        <f t="shared" si="1"/>
        <v>2084.8000000000002</v>
      </c>
      <c r="J63" s="184">
        <f t="shared" si="0"/>
        <v>0</v>
      </c>
    </row>
    <row r="64" spans="1:10" ht="16.5" thickTop="1" thickBot="1" x14ac:dyDescent="0.3">
      <c r="A64" s="38" t="s">
        <v>1529</v>
      </c>
      <c r="B64" s="39" t="s">
        <v>1530</v>
      </c>
      <c r="C64" s="182" t="s">
        <v>1418</v>
      </c>
      <c r="D64" s="286" t="s">
        <v>1433</v>
      </c>
      <c r="E64" s="287"/>
      <c r="F64" s="288"/>
      <c r="G64" s="185" t="s">
        <v>50</v>
      </c>
      <c r="H64" s="186"/>
      <c r="I64" s="183">
        <f t="shared" si="1"/>
        <v>0</v>
      </c>
      <c r="J64" s="184">
        <f t="shared" si="0"/>
        <v>0</v>
      </c>
    </row>
    <row r="65" spans="1:10" ht="16.5" thickTop="1" thickBot="1" x14ac:dyDescent="0.3">
      <c r="A65" s="38" t="s">
        <v>1531</v>
      </c>
      <c r="B65" s="39" t="s">
        <v>1532</v>
      </c>
      <c r="C65" s="182" t="s">
        <v>1418</v>
      </c>
      <c r="D65" s="286" t="s">
        <v>1433</v>
      </c>
      <c r="E65" s="287"/>
      <c r="F65" s="288"/>
      <c r="G65" s="185" t="s">
        <v>50</v>
      </c>
      <c r="H65" s="186"/>
      <c r="I65" s="183">
        <f t="shared" si="1"/>
        <v>0</v>
      </c>
      <c r="J65" s="184">
        <f t="shared" si="0"/>
        <v>0</v>
      </c>
    </row>
    <row r="66" spans="1:10" ht="16.5" thickTop="1" thickBot="1" x14ac:dyDescent="0.3">
      <c r="A66" s="38" t="s">
        <v>1533</v>
      </c>
      <c r="B66" s="39" t="s">
        <v>1534</v>
      </c>
      <c r="C66" s="182" t="s">
        <v>1418</v>
      </c>
      <c r="D66" s="286" t="s">
        <v>1433</v>
      </c>
      <c r="E66" s="287"/>
      <c r="F66" s="288"/>
      <c r="G66" s="185" t="s">
        <v>50</v>
      </c>
      <c r="H66" s="186"/>
      <c r="I66" s="183">
        <f t="shared" si="1"/>
        <v>0</v>
      </c>
      <c r="J66" s="184">
        <f t="shared" si="0"/>
        <v>0</v>
      </c>
    </row>
    <row r="67" spans="1:10" ht="16.5" thickTop="1" thickBot="1" x14ac:dyDescent="0.3">
      <c r="A67" s="38" t="s">
        <v>1535</v>
      </c>
      <c r="B67" s="39" t="s">
        <v>1536</v>
      </c>
      <c r="C67" s="182" t="s">
        <v>1418</v>
      </c>
      <c r="D67" s="286" t="s">
        <v>1433</v>
      </c>
      <c r="E67" s="287"/>
      <c r="F67" s="288"/>
      <c r="G67" s="185" t="s">
        <v>50</v>
      </c>
      <c r="H67" s="186"/>
      <c r="I67" s="183">
        <f t="shared" si="1"/>
        <v>0</v>
      </c>
      <c r="J67" s="184">
        <f t="shared" si="0"/>
        <v>0</v>
      </c>
    </row>
    <row r="68" spans="1:10" ht="16.5" thickTop="1" thickBot="1" x14ac:dyDescent="0.3">
      <c r="A68" s="38" t="s">
        <v>1537</v>
      </c>
      <c r="B68" s="39" t="s">
        <v>1538</v>
      </c>
      <c r="C68" s="182" t="s">
        <v>1418</v>
      </c>
      <c r="D68" s="183">
        <v>2889.2</v>
      </c>
      <c r="E68" s="183">
        <v>3041.4</v>
      </c>
      <c r="F68" s="184">
        <v>3283.7</v>
      </c>
      <c r="G68" s="185" t="s">
        <v>53</v>
      </c>
      <c r="H68" s="186"/>
      <c r="I68" s="183">
        <f t="shared" si="1"/>
        <v>3283.7</v>
      </c>
      <c r="J68" s="184">
        <f t="shared" si="0"/>
        <v>0</v>
      </c>
    </row>
    <row r="69" spans="1:10" ht="16.5" thickTop="1" thickBot="1" x14ac:dyDescent="0.3">
      <c r="A69" s="38" t="s">
        <v>1539</v>
      </c>
      <c r="B69" s="39" t="s">
        <v>1540</v>
      </c>
      <c r="C69" s="182" t="s">
        <v>1418</v>
      </c>
      <c r="D69" s="183">
        <v>1104.4000000000001</v>
      </c>
      <c r="E69" s="183">
        <v>1161.8</v>
      </c>
      <c r="F69" s="184">
        <v>1302.5</v>
      </c>
      <c r="G69" s="185" t="s">
        <v>53</v>
      </c>
      <c r="H69" s="186"/>
      <c r="I69" s="183">
        <f t="shared" si="1"/>
        <v>1302.5</v>
      </c>
      <c r="J69" s="184">
        <f t="shared" ref="J69:J99" si="2">H69*I69</f>
        <v>0</v>
      </c>
    </row>
    <row r="70" spans="1:10" ht="16.5" thickTop="1" thickBot="1" x14ac:dyDescent="0.3">
      <c r="A70" s="38" t="s">
        <v>1541</v>
      </c>
      <c r="B70" s="39" t="s">
        <v>1542</v>
      </c>
      <c r="C70" s="182" t="s">
        <v>1418</v>
      </c>
      <c r="D70" s="286" t="s">
        <v>1433</v>
      </c>
      <c r="E70" s="287"/>
      <c r="F70" s="288"/>
      <c r="G70" s="185" t="s">
        <v>50</v>
      </c>
      <c r="H70" s="186"/>
      <c r="I70" s="183">
        <f t="shared" ref="I70:I74" si="3">IF(G70="+",IF(SUMPRODUCT(H$5:H$99,D$5:D$99)&gt;90000,D70,IF(SUMPRODUCT(H$5:H$99,E$5:E$99)&gt;25000,E70,F70)),0)</f>
        <v>0</v>
      </c>
      <c r="J70" s="184">
        <f t="shared" si="2"/>
        <v>0</v>
      </c>
    </row>
    <row r="71" spans="1:10" ht="16.5" thickTop="1" thickBot="1" x14ac:dyDescent="0.3">
      <c r="A71" s="38" t="s">
        <v>1543</v>
      </c>
      <c r="B71" s="39" t="s">
        <v>1544</v>
      </c>
      <c r="C71" s="182" t="s">
        <v>1418</v>
      </c>
      <c r="D71" s="183">
        <v>674.2</v>
      </c>
      <c r="E71" s="183">
        <v>709.9</v>
      </c>
      <c r="F71" s="184">
        <v>824.3</v>
      </c>
      <c r="G71" s="185" t="s">
        <v>53</v>
      </c>
      <c r="H71" s="186"/>
      <c r="I71" s="183">
        <f t="shared" si="3"/>
        <v>824.3</v>
      </c>
      <c r="J71" s="184">
        <f t="shared" si="2"/>
        <v>0</v>
      </c>
    </row>
    <row r="72" spans="1:10" ht="16.5" thickTop="1" thickBot="1" x14ac:dyDescent="0.3">
      <c r="A72" s="38" t="s">
        <v>1545</v>
      </c>
      <c r="B72" s="39" t="s">
        <v>1546</v>
      </c>
      <c r="C72" s="182" t="s">
        <v>1418</v>
      </c>
      <c r="D72" s="183">
        <v>291.8</v>
      </c>
      <c r="E72" s="183">
        <v>306.60000000000002</v>
      </c>
      <c r="F72" s="184">
        <v>355.9</v>
      </c>
      <c r="G72" s="185" t="s">
        <v>53</v>
      </c>
      <c r="H72" s="186"/>
      <c r="I72" s="183">
        <f t="shared" si="3"/>
        <v>355.9</v>
      </c>
      <c r="J72" s="184">
        <f t="shared" si="2"/>
        <v>0</v>
      </c>
    </row>
    <row r="73" spans="1:10" ht="16.5" thickTop="1" thickBot="1" x14ac:dyDescent="0.3">
      <c r="A73" s="38" t="s">
        <v>1547</v>
      </c>
      <c r="B73" s="39" t="s">
        <v>1548</v>
      </c>
      <c r="C73" s="182" t="s">
        <v>1418</v>
      </c>
      <c r="D73" s="183">
        <v>424.2</v>
      </c>
      <c r="E73" s="183">
        <v>447.2</v>
      </c>
      <c r="F73" s="184">
        <v>518.1</v>
      </c>
      <c r="G73" s="185" t="s">
        <v>53</v>
      </c>
      <c r="H73" s="186"/>
      <c r="I73" s="183">
        <f t="shared" si="3"/>
        <v>518.1</v>
      </c>
      <c r="J73" s="184">
        <f t="shared" si="2"/>
        <v>0</v>
      </c>
    </row>
    <row r="74" spans="1:10" ht="16.5" thickTop="1" thickBot="1" x14ac:dyDescent="0.3">
      <c r="A74" s="38" t="s">
        <v>1549</v>
      </c>
      <c r="B74" s="39" t="s">
        <v>1550</v>
      </c>
      <c r="C74" s="182" t="s">
        <v>1418</v>
      </c>
      <c r="D74" s="183">
        <v>148.6</v>
      </c>
      <c r="E74" s="183">
        <v>155.30000000000001</v>
      </c>
      <c r="F74" s="184">
        <v>180.5</v>
      </c>
      <c r="G74" s="185" t="s">
        <v>53</v>
      </c>
      <c r="H74" s="186"/>
      <c r="I74" s="183">
        <f t="shared" si="3"/>
        <v>180.5</v>
      </c>
      <c r="J74" s="184">
        <f t="shared" si="2"/>
        <v>0</v>
      </c>
    </row>
    <row r="75" spans="1:10" ht="16.5" thickTop="1" thickBot="1" x14ac:dyDescent="0.3">
      <c r="A75" s="221" t="s">
        <v>1551</v>
      </c>
      <c r="B75" s="222">
        <v>0</v>
      </c>
      <c r="C75" s="222">
        <v>0</v>
      </c>
      <c r="D75" s="222">
        <v>0</v>
      </c>
      <c r="E75" s="222">
        <v>0</v>
      </c>
      <c r="F75" s="223">
        <v>0</v>
      </c>
      <c r="G75" s="185" t="s">
        <v>44</v>
      </c>
      <c r="H75" s="186"/>
      <c r="I75" s="183"/>
      <c r="J75" s="184"/>
    </row>
    <row r="76" spans="1:10" ht="16.5" thickTop="1" thickBot="1" x14ac:dyDescent="0.3">
      <c r="A76" s="38" t="s">
        <v>1552</v>
      </c>
      <c r="B76" s="39" t="s">
        <v>1553</v>
      </c>
      <c r="C76" s="182" t="s">
        <v>1418</v>
      </c>
      <c r="D76" s="286" t="s">
        <v>1433</v>
      </c>
      <c r="E76" s="287"/>
      <c r="F76" s="288"/>
      <c r="G76" s="185" t="s">
        <v>50</v>
      </c>
      <c r="H76" s="186"/>
      <c r="I76" s="183">
        <f t="shared" ref="I76:I87" si="4">IF(G76="+",IF(SUMPRODUCT(H$5:H$99,D$5:D$99)&gt;90000,D76,IF(SUMPRODUCT(H$5:H$99,E$5:E$99)&gt;25000,E76,F76)),0)</f>
        <v>0</v>
      </c>
      <c r="J76" s="184">
        <f t="shared" si="2"/>
        <v>0</v>
      </c>
    </row>
    <row r="77" spans="1:10" ht="16.5" thickTop="1" thickBot="1" x14ac:dyDescent="0.3">
      <c r="A77" s="38" t="s">
        <v>1554</v>
      </c>
      <c r="B77" s="39" t="s">
        <v>1555</v>
      </c>
      <c r="C77" s="182" t="s">
        <v>1418</v>
      </c>
      <c r="D77" s="183">
        <v>785.3</v>
      </c>
      <c r="E77" s="183">
        <v>827.4</v>
      </c>
      <c r="F77" s="184">
        <v>925.5</v>
      </c>
      <c r="G77" s="185" t="s">
        <v>53</v>
      </c>
      <c r="H77" s="186"/>
      <c r="I77" s="183">
        <f t="shared" si="4"/>
        <v>925.5</v>
      </c>
      <c r="J77" s="184">
        <f t="shared" si="2"/>
        <v>0</v>
      </c>
    </row>
    <row r="78" spans="1:10" ht="16.5" thickTop="1" thickBot="1" x14ac:dyDescent="0.3">
      <c r="A78" s="38" t="s">
        <v>1556</v>
      </c>
      <c r="B78" s="39" t="s">
        <v>1557</v>
      </c>
      <c r="C78" s="182" t="s">
        <v>1418</v>
      </c>
      <c r="D78" s="183">
        <v>4013.2</v>
      </c>
      <c r="E78" s="183">
        <v>4233.8999999999996</v>
      </c>
      <c r="F78" s="184">
        <v>4571.6000000000004</v>
      </c>
      <c r="G78" s="185" t="s">
        <v>53</v>
      </c>
      <c r="H78" s="186"/>
      <c r="I78" s="183">
        <f t="shared" si="4"/>
        <v>4571.6000000000004</v>
      </c>
      <c r="J78" s="184">
        <f t="shared" si="2"/>
        <v>0</v>
      </c>
    </row>
    <row r="79" spans="1:10" ht="16.5" thickTop="1" thickBot="1" x14ac:dyDescent="0.3">
      <c r="A79" s="38" t="s">
        <v>1558</v>
      </c>
      <c r="B79" s="39" t="s">
        <v>1559</v>
      </c>
      <c r="C79" s="182" t="s">
        <v>1418</v>
      </c>
      <c r="D79" s="183">
        <v>479.2</v>
      </c>
      <c r="E79" s="183">
        <v>505.2</v>
      </c>
      <c r="F79" s="184">
        <v>585.6</v>
      </c>
      <c r="G79" s="185" t="s">
        <v>53</v>
      </c>
      <c r="H79" s="186"/>
      <c r="I79" s="183">
        <f t="shared" si="4"/>
        <v>585.6</v>
      </c>
      <c r="J79" s="184">
        <f t="shared" si="2"/>
        <v>0</v>
      </c>
    </row>
    <row r="80" spans="1:10" ht="16.5" thickTop="1" thickBot="1" x14ac:dyDescent="0.3">
      <c r="A80" s="38" t="s">
        <v>1560</v>
      </c>
      <c r="B80" s="39" t="s">
        <v>1561</v>
      </c>
      <c r="C80" s="182" t="s">
        <v>1418</v>
      </c>
      <c r="D80" s="183">
        <v>479.2</v>
      </c>
      <c r="E80" s="183">
        <v>505.2</v>
      </c>
      <c r="F80" s="184">
        <v>585.6</v>
      </c>
      <c r="G80" s="185" t="s">
        <v>53</v>
      </c>
      <c r="H80" s="186"/>
      <c r="I80" s="183">
        <f t="shared" si="4"/>
        <v>585.6</v>
      </c>
      <c r="J80" s="184">
        <f t="shared" si="2"/>
        <v>0</v>
      </c>
    </row>
    <row r="81" spans="1:10" ht="16.5" thickTop="1" thickBot="1" x14ac:dyDescent="0.3">
      <c r="A81" s="38" t="s">
        <v>1562</v>
      </c>
      <c r="B81" s="39" t="s">
        <v>1563</v>
      </c>
      <c r="C81" s="182" t="s">
        <v>1418</v>
      </c>
      <c r="D81" s="183">
        <v>259</v>
      </c>
      <c r="E81" s="183">
        <v>272.89999999999998</v>
      </c>
      <c r="F81" s="184">
        <v>317.5</v>
      </c>
      <c r="G81" s="185" t="s">
        <v>53</v>
      </c>
      <c r="H81" s="186"/>
      <c r="I81" s="183">
        <f t="shared" si="4"/>
        <v>317.5</v>
      </c>
      <c r="J81" s="184">
        <f t="shared" si="2"/>
        <v>0</v>
      </c>
    </row>
    <row r="82" spans="1:10" ht="16.5" thickTop="1" thickBot="1" x14ac:dyDescent="0.3">
      <c r="A82" s="38" t="s">
        <v>1564</v>
      </c>
      <c r="B82" s="39" t="s">
        <v>1565</v>
      </c>
      <c r="C82" s="182" t="s">
        <v>1418</v>
      </c>
      <c r="D82" s="183">
        <v>137.6</v>
      </c>
      <c r="E82" s="183">
        <v>144.1</v>
      </c>
      <c r="F82" s="184">
        <v>167</v>
      </c>
      <c r="G82" s="185" t="s">
        <v>53</v>
      </c>
      <c r="H82" s="186"/>
      <c r="I82" s="183">
        <f t="shared" si="4"/>
        <v>167</v>
      </c>
      <c r="J82" s="184">
        <f t="shared" si="2"/>
        <v>0</v>
      </c>
    </row>
    <row r="83" spans="1:10" ht="16.5" thickTop="1" thickBot="1" x14ac:dyDescent="0.3">
      <c r="A83" s="38" t="s">
        <v>1566</v>
      </c>
      <c r="B83" s="39" t="s">
        <v>1567</v>
      </c>
      <c r="C83" s="182" t="s">
        <v>1418</v>
      </c>
      <c r="D83" s="183">
        <v>529</v>
      </c>
      <c r="E83" s="183">
        <v>557.20000000000005</v>
      </c>
      <c r="F83" s="184">
        <v>646.4</v>
      </c>
      <c r="G83" s="185" t="s">
        <v>53</v>
      </c>
      <c r="H83" s="186"/>
      <c r="I83" s="183">
        <f t="shared" si="4"/>
        <v>646.4</v>
      </c>
      <c r="J83" s="184">
        <f t="shared" si="2"/>
        <v>0</v>
      </c>
    </row>
    <row r="84" spans="1:10" ht="16.5" thickTop="1" thickBot="1" x14ac:dyDescent="0.3">
      <c r="A84" s="38" t="s">
        <v>1568</v>
      </c>
      <c r="B84" s="39" t="s">
        <v>1569</v>
      </c>
      <c r="C84" s="182" t="s">
        <v>1418</v>
      </c>
      <c r="D84" s="183">
        <v>1350.4</v>
      </c>
      <c r="E84" s="183">
        <v>1421.1</v>
      </c>
      <c r="F84" s="184">
        <v>1592.3</v>
      </c>
      <c r="G84" s="185" t="s">
        <v>53</v>
      </c>
      <c r="H84" s="186"/>
      <c r="I84" s="183">
        <f t="shared" si="4"/>
        <v>1592.3</v>
      </c>
      <c r="J84" s="184">
        <f t="shared" si="2"/>
        <v>0</v>
      </c>
    </row>
    <row r="85" spans="1:10" ht="16.5" thickTop="1" thickBot="1" x14ac:dyDescent="0.3">
      <c r="A85" s="38" t="s">
        <v>1570</v>
      </c>
      <c r="B85" s="39" t="s">
        <v>1571</v>
      </c>
      <c r="C85" s="182" t="s">
        <v>1418</v>
      </c>
      <c r="D85" s="183">
        <v>291.5</v>
      </c>
      <c r="E85" s="183">
        <v>306.89999999999998</v>
      </c>
      <c r="F85" s="184">
        <v>356.5</v>
      </c>
      <c r="G85" s="185" t="s">
        <v>53</v>
      </c>
      <c r="H85" s="186"/>
      <c r="I85" s="183">
        <f t="shared" si="4"/>
        <v>356.5</v>
      </c>
      <c r="J85" s="184">
        <f t="shared" si="2"/>
        <v>0</v>
      </c>
    </row>
    <row r="86" spans="1:10" ht="16.5" thickTop="1" thickBot="1" x14ac:dyDescent="0.3">
      <c r="A86" s="38" t="s">
        <v>1572</v>
      </c>
      <c r="B86" s="39" t="s">
        <v>1573</v>
      </c>
      <c r="C86" s="182" t="s">
        <v>1418</v>
      </c>
      <c r="D86" s="183">
        <v>1515.6</v>
      </c>
      <c r="E86" s="183">
        <v>1594.8</v>
      </c>
      <c r="F86" s="184">
        <v>1787.2</v>
      </c>
      <c r="G86" s="185" t="s">
        <v>53</v>
      </c>
      <c r="H86" s="186"/>
      <c r="I86" s="183">
        <f t="shared" si="4"/>
        <v>1787.2</v>
      </c>
      <c r="J86" s="184">
        <f t="shared" si="2"/>
        <v>0</v>
      </c>
    </row>
    <row r="87" spans="1:10" ht="16.5" thickTop="1" thickBot="1" x14ac:dyDescent="0.3">
      <c r="A87" s="38" t="s">
        <v>1574</v>
      </c>
      <c r="B87" s="39" t="s">
        <v>1575</v>
      </c>
      <c r="C87" s="182" t="s">
        <v>1418</v>
      </c>
      <c r="D87" s="183">
        <v>2162.6</v>
      </c>
      <c r="E87" s="183">
        <v>2275.8000000000002</v>
      </c>
      <c r="F87" s="184">
        <v>2458.9</v>
      </c>
      <c r="G87" s="185" t="s">
        <v>53</v>
      </c>
      <c r="H87" s="186"/>
      <c r="I87" s="183">
        <f t="shared" si="4"/>
        <v>2458.9</v>
      </c>
      <c r="J87" s="184">
        <f t="shared" si="2"/>
        <v>0</v>
      </c>
    </row>
    <row r="88" spans="1:10" ht="16.5" thickTop="1" thickBot="1" x14ac:dyDescent="0.3">
      <c r="A88" s="221" t="s">
        <v>1576</v>
      </c>
      <c r="B88" s="222">
        <v>0</v>
      </c>
      <c r="C88" s="222">
        <v>0</v>
      </c>
      <c r="D88" s="222">
        <v>0</v>
      </c>
      <c r="E88" s="222">
        <v>0</v>
      </c>
      <c r="F88" s="223">
        <v>0</v>
      </c>
      <c r="G88" s="185" t="s">
        <v>44</v>
      </c>
      <c r="H88" s="186"/>
      <c r="I88" s="183"/>
      <c r="J88" s="184"/>
    </row>
    <row r="89" spans="1:10" ht="16.5" thickTop="1" thickBot="1" x14ac:dyDescent="0.3">
      <c r="A89" s="38" t="s">
        <v>1577</v>
      </c>
      <c r="B89" s="39" t="s">
        <v>1578</v>
      </c>
      <c r="C89" s="182" t="s">
        <v>1418</v>
      </c>
      <c r="D89" s="183">
        <v>895.6</v>
      </c>
      <c r="E89" s="183">
        <v>942.3</v>
      </c>
      <c r="F89" s="184">
        <v>1056.2</v>
      </c>
      <c r="G89" s="185" t="s">
        <v>53</v>
      </c>
      <c r="H89" s="186"/>
      <c r="I89" s="183">
        <f t="shared" ref="I89:I99" si="5">IF(G89="+",IF(SUMPRODUCT(H$5:H$99,D$5:D$99)&gt;90000,D89,IF(SUMPRODUCT(H$5:H$99,E$5:E$99)&gt;25000,E89,F89)),0)</f>
        <v>1056.2</v>
      </c>
      <c r="J89" s="184">
        <f t="shared" si="2"/>
        <v>0</v>
      </c>
    </row>
    <row r="90" spans="1:10" ht="16.5" thickTop="1" thickBot="1" x14ac:dyDescent="0.3">
      <c r="A90" s="38" t="s">
        <v>1579</v>
      </c>
      <c r="B90" s="39" t="s">
        <v>1580</v>
      </c>
      <c r="C90" s="182" t="s">
        <v>1418</v>
      </c>
      <c r="D90" s="183">
        <v>926.4</v>
      </c>
      <c r="E90" s="183">
        <v>975.8</v>
      </c>
      <c r="F90" s="184">
        <v>1092.3</v>
      </c>
      <c r="G90" s="185" t="s">
        <v>53</v>
      </c>
      <c r="H90" s="186"/>
      <c r="I90" s="183">
        <f t="shared" si="5"/>
        <v>1092.3</v>
      </c>
      <c r="J90" s="184">
        <f t="shared" si="2"/>
        <v>0</v>
      </c>
    </row>
    <row r="91" spans="1:10" ht="16.5" thickTop="1" thickBot="1" x14ac:dyDescent="0.3">
      <c r="A91" s="38" t="s">
        <v>1581</v>
      </c>
      <c r="B91" s="39" t="s">
        <v>1582</v>
      </c>
      <c r="C91" s="182" t="s">
        <v>1583</v>
      </c>
      <c r="D91" s="286" t="s">
        <v>1433</v>
      </c>
      <c r="E91" s="287">
        <v>0</v>
      </c>
      <c r="F91" s="288">
        <v>0</v>
      </c>
      <c r="G91" s="185" t="s">
        <v>50</v>
      </c>
      <c r="H91" s="186"/>
      <c r="I91" s="183">
        <f t="shared" si="5"/>
        <v>0</v>
      </c>
      <c r="J91" s="184">
        <f t="shared" si="2"/>
        <v>0</v>
      </c>
    </row>
    <row r="92" spans="1:10" ht="16.5" thickTop="1" thickBot="1" x14ac:dyDescent="0.3">
      <c r="A92" s="38" t="s">
        <v>1584</v>
      </c>
      <c r="B92" s="39" t="s">
        <v>1585</v>
      </c>
      <c r="C92" s="182" t="s">
        <v>1418</v>
      </c>
      <c r="D92" s="286" t="s">
        <v>1433</v>
      </c>
      <c r="E92" s="287">
        <v>0</v>
      </c>
      <c r="F92" s="288">
        <v>0</v>
      </c>
      <c r="G92" s="185" t="s">
        <v>50</v>
      </c>
      <c r="H92" s="186"/>
      <c r="I92" s="183">
        <f t="shared" si="5"/>
        <v>0</v>
      </c>
      <c r="J92" s="184">
        <f t="shared" si="2"/>
        <v>0</v>
      </c>
    </row>
    <row r="93" spans="1:10" ht="16.5" thickTop="1" thickBot="1" x14ac:dyDescent="0.3">
      <c r="A93" s="38" t="s">
        <v>1586</v>
      </c>
      <c r="B93" s="39" t="s">
        <v>1587</v>
      </c>
      <c r="C93" s="182" t="s">
        <v>1418</v>
      </c>
      <c r="D93" s="183">
        <v>467.1</v>
      </c>
      <c r="E93" s="183">
        <v>492.7</v>
      </c>
      <c r="F93" s="184">
        <v>571.5</v>
      </c>
      <c r="G93" s="185" t="s">
        <v>53</v>
      </c>
      <c r="H93" s="186"/>
      <c r="I93" s="183">
        <f t="shared" si="5"/>
        <v>571.5</v>
      </c>
      <c r="J93" s="184">
        <f t="shared" si="2"/>
        <v>0</v>
      </c>
    </row>
    <row r="94" spans="1:10" ht="16.5" thickTop="1" thickBot="1" x14ac:dyDescent="0.3">
      <c r="A94" s="38" t="s">
        <v>1588</v>
      </c>
      <c r="B94" s="39" t="s">
        <v>1589</v>
      </c>
      <c r="C94" s="182" t="s">
        <v>1418</v>
      </c>
      <c r="D94" s="183">
        <v>1904.9</v>
      </c>
      <c r="E94" s="183">
        <v>2005.2</v>
      </c>
      <c r="F94" s="187">
        <v>2246.1</v>
      </c>
      <c r="G94" s="185" t="s">
        <v>53</v>
      </c>
      <c r="H94" s="186"/>
      <c r="I94" s="183">
        <f t="shared" si="5"/>
        <v>2246.1</v>
      </c>
      <c r="J94" s="184">
        <f t="shared" si="2"/>
        <v>0</v>
      </c>
    </row>
    <row r="95" spans="1:10" ht="16.5" thickTop="1" thickBot="1" x14ac:dyDescent="0.3">
      <c r="A95" s="38" t="s">
        <v>1590</v>
      </c>
      <c r="B95" s="39" t="s">
        <v>1591</v>
      </c>
      <c r="C95" s="182" t="s">
        <v>1418</v>
      </c>
      <c r="D95" s="183">
        <v>1450.8</v>
      </c>
      <c r="E95" s="183">
        <v>1527.6</v>
      </c>
      <c r="F95" s="184">
        <v>1710.4</v>
      </c>
      <c r="G95" s="185" t="s">
        <v>53</v>
      </c>
      <c r="H95" s="186"/>
      <c r="I95" s="183">
        <f t="shared" si="5"/>
        <v>1710.4</v>
      </c>
      <c r="J95" s="184">
        <f t="shared" si="2"/>
        <v>0</v>
      </c>
    </row>
    <row r="96" spans="1:10" ht="16.5" thickTop="1" thickBot="1" x14ac:dyDescent="0.3">
      <c r="A96" s="38" t="s">
        <v>1592</v>
      </c>
      <c r="B96" s="39" t="s">
        <v>1593</v>
      </c>
      <c r="C96" s="182" t="s">
        <v>1418</v>
      </c>
      <c r="D96" s="183">
        <v>464.6</v>
      </c>
      <c r="E96" s="183">
        <v>488.6</v>
      </c>
      <c r="F96" s="184">
        <v>566.29999999999995</v>
      </c>
      <c r="G96" s="185" t="s">
        <v>53</v>
      </c>
      <c r="H96" s="186"/>
      <c r="I96" s="183">
        <f t="shared" si="5"/>
        <v>566.29999999999995</v>
      </c>
      <c r="J96" s="184">
        <f t="shared" si="2"/>
        <v>0</v>
      </c>
    </row>
    <row r="97" spans="1:10" ht="16.5" thickTop="1" thickBot="1" x14ac:dyDescent="0.3">
      <c r="A97" s="38" t="s">
        <v>1340</v>
      </c>
      <c r="B97" s="39" t="s">
        <v>1594</v>
      </c>
      <c r="C97" s="182" t="s">
        <v>1418</v>
      </c>
      <c r="D97" s="183">
        <v>201.3</v>
      </c>
      <c r="E97" s="183">
        <v>211.5</v>
      </c>
      <c r="F97" s="184">
        <v>245.1</v>
      </c>
      <c r="G97" s="185" t="s">
        <v>53</v>
      </c>
      <c r="H97" s="186"/>
      <c r="I97" s="183">
        <f t="shared" si="5"/>
        <v>245.1</v>
      </c>
      <c r="J97" s="184">
        <f t="shared" si="2"/>
        <v>0</v>
      </c>
    </row>
    <row r="98" spans="1:10" ht="16.5" thickTop="1" thickBot="1" x14ac:dyDescent="0.3">
      <c r="A98" s="38" t="s">
        <v>1595</v>
      </c>
      <c r="B98" s="39" t="s">
        <v>1596</v>
      </c>
      <c r="C98" s="182" t="s">
        <v>1418</v>
      </c>
      <c r="D98" s="183">
        <v>2106.3000000000002</v>
      </c>
      <c r="E98" s="183">
        <v>2208.1999999999998</v>
      </c>
      <c r="F98" s="184">
        <v>2315.1</v>
      </c>
      <c r="G98" s="185" t="s">
        <v>53</v>
      </c>
      <c r="H98" s="186"/>
      <c r="I98" s="183">
        <f t="shared" si="5"/>
        <v>2315.1</v>
      </c>
      <c r="J98" s="184">
        <f t="shared" si="2"/>
        <v>0</v>
      </c>
    </row>
    <row r="99" spans="1:10" ht="16.5" thickTop="1" thickBot="1" x14ac:dyDescent="0.3">
      <c r="A99" s="38"/>
      <c r="B99" s="39" t="s">
        <v>1597</v>
      </c>
      <c r="C99" s="182" t="s">
        <v>1418</v>
      </c>
      <c r="D99" s="183">
        <v>248.4</v>
      </c>
      <c r="E99" s="183">
        <v>261</v>
      </c>
      <c r="F99" s="184">
        <v>302.89999999999998</v>
      </c>
      <c r="G99" s="185" t="s">
        <v>53</v>
      </c>
      <c r="H99" s="186"/>
      <c r="I99" s="183">
        <f t="shared" si="5"/>
        <v>302.89999999999998</v>
      </c>
      <c r="J99" s="184">
        <f t="shared" si="2"/>
        <v>0</v>
      </c>
    </row>
    <row r="100" spans="1:10" ht="16.5" thickTop="1" thickBot="1" x14ac:dyDescent="0.3">
      <c r="A100" s="188" t="s">
        <v>18</v>
      </c>
      <c r="B100" s="189"/>
      <c r="C100" s="190"/>
      <c r="D100" s="190"/>
      <c r="E100" s="190"/>
      <c r="F100" s="190"/>
      <c r="G100" s="191" t="s">
        <v>44</v>
      </c>
      <c r="H100" s="192"/>
      <c r="I100" s="193"/>
      <c r="J100" s="194">
        <f>SUM(J5:J99)</f>
        <v>0</v>
      </c>
    </row>
    <row r="101" spans="1:10" ht="14.25" thickTop="1" thickBot="1" x14ac:dyDescent="0.25">
      <c r="A101" s="188" t="s">
        <v>26</v>
      </c>
      <c r="B101" s="195"/>
      <c r="C101" s="196"/>
      <c r="D101" s="196"/>
      <c r="E101" s="196"/>
      <c r="F101" s="196"/>
      <c r="G101" s="197" t="s">
        <v>44</v>
      </c>
      <c r="H101" s="192"/>
      <c r="I101" s="193"/>
      <c r="J101" s="198"/>
    </row>
    <row r="102" spans="1:10" ht="14.25" thickTop="1" thickBot="1" x14ac:dyDescent="0.25">
      <c r="A102" s="188" t="s">
        <v>0</v>
      </c>
      <c r="B102" s="195"/>
      <c r="C102" s="196"/>
      <c r="D102" s="196"/>
      <c r="E102" s="196"/>
      <c r="F102" s="196"/>
      <c r="G102" s="197" t="s">
        <v>44</v>
      </c>
      <c r="H102" s="192"/>
      <c r="I102" s="193"/>
      <c r="J102" s="198"/>
    </row>
    <row r="103" spans="1:10" ht="14.25" thickTop="1" thickBot="1" x14ac:dyDescent="0.25">
      <c r="A103" s="199" t="s">
        <v>1598</v>
      </c>
      <c r="B103" s="200"/>
      <c r="C103" s="201"/>
      <c r="D103" s="201"/>
      <c r="E103" s="201"/>
      <c r="F103" s="201"/>
      <c r="G103" s="202" t="s">
        <v>44</v>
      </c>
      <c r="H103" s="203"/>
      <c r="I103" s="204"/>
      <c r="J103" s="202"/>
    </row>
    <row r="104" spans="1:10" ht="13.5" thickTop="1" x14ac:dyDescent="0.2"/>
    <row r="107" spans="1:10" x14ac:dyDescent="0.2">
      <c r="B107" s="206"/>
    </row>
  </sheetData>
  <mergeCells count="29">
    <mergeCell ref="A1:B1"/>
    <mergeCell ref="C1:J1"/>
    <mergeCell ref="A2:A3"/>
    <mergeCell ref="C2:C3"/>
    <mergeCell ref="D2:E2"/>
    <mergeCell ref="F2:F3"/>
    <mergeCell ref="G2:G3"/>
    <mergeCell ref="H2:J2"/>
    <mergeCell ref="D64:F64"/>
    <mergeCell ref="A4:F4"/>
    <mergeCell ref="A13:F13"/>
    <mergeCell ref="D15:F15"/>
    <mergeCell ref="D24:F24"/>
    <mergeCell ref="D29:F29"/>
    <mergeCell ref="D35:F35"/>
    <mergeCell ref="D37:F37"/>
    <mergeCell ref="D41:F41"/>
    <mergeCell ref="D53:F53"/>
    <mergeCell ref="D57:F57"/>
    <mergeCell ref="A62:F62"/>
    <mergeCell ref="A88:F88"/>
    <mergeCell ref="D91:F91"/>
    <mergeCell ref="D92:F92"/>
    <mergeCell ref="D65:F65"/>
    <mergeCell ref="D66:F66"/>
    <mergeCell ref="D67:F67"/>
    <mergeCell ref="D70:F70"/>
    <mergeCell ref="A75:F75"/>
    <mergeCell ref="D76:F76"/>
  </mergeCells>
  <conditionalFormatting sqref="C88:D88">
    <cfRule type="cellIs" dxfId="7" priority="7" stopIfTrue="1" operator="equal">
      <formula>0</formula>
    </cfRule>
  </conditionalFormatting>
  <conditionalFormatting sqref="C62:D62">
    <cfRule type="cellIs" dxfId="6" priority="6" stopIfTrue="1" operator="equal">
      <formula>0</formula>
    </cfRule>
  </conditionalFormatting>
  <conditionalFormatting sqref="C13:D13">
    <cfRule type="cellIs" dxfId="5" priority="5" stopIfTrue="1" operator="equal">
      <formula>0</formula>
    </cfRule>
  </conditionalFormatting>
  <conditionalFormatting sqref="C4:D4">
    <cfRule type="cellIs" dxfId="4" priority="4" stopIfTrue="1" operator="equal">
      <formula>0</formula>
    </cfRule>
  </conditionalFormatting>
  <conditionalFormatting sqref="C2">
    <cfRule type="cellIs" dxfId="3" priority="3" stopIfTrue="1" operator="equal">
      <formula>0</formula>
    </cfRule>
  </conditionalFormatting>
  <conditionalFormatting sqref="C75:D75">
    <cfRule type="cellIs" dxfId="2" priority="8" stopIfTrue="1" operator="equal">
      <formula>0</formula>
    </cfRule>
  </conditionalFormatting>
  <conditionalFormatting sqref="H5:H99">
    <cfRule type="cellIs" dxfId="1" priority="2" operator="greaterThan">
      <formula>0</formula>
    </cfRule>
  </conditionalFormatting>
  <conditionalFormatting sqref="J100">
    <cfRule type="cellIs" dxfId="0" priority="1" operator="greaterThan">
      <formula>-1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61"/>
  <sheetViews>
    <sheetView showGridLines="0" workbookViewId="0">
      <pane ySplit="7" topLeftCell="A8" activePane="bottomLeft" state="frozen"/>
    </sheetView>
  </sheetViews>
  <sheetFormatPr defaultRowHeight="15"/>
  <cols>
    <col min="1" max="1" width="18" customWidth="1"/>
    <col min="2" max="2" width="20" customWidth="1"/>
    <col min="3" max="3" width="48" customWidth="1"/>
    <col min="4" max="4" width="10" customWidth="1"/>
    <col min="5" max="5" width="10" customWidth="1"/>
    <col min="6" max="6" width="12" customWidth="1"/>
    <col min="7" max="7" width="14" customWidth="1"/>
    <col min="8" max="8" width="6" customWidth="1" hidden="1"/>
    <col min="9" max="9" width="6" customWidth="1" hidden="1"/>
    <col min="10" max="10" width="6" customWidth="1" hidden="1"/>
    <col min="11" max="11" width="6" customWidth="1" hidden="1"/>
    <col min="12" max="12" width="4" customWidth="1" hidden="1"/>
  </cols>
  <sheetData>
    <row r="1" ht="26" customHeight="1">
      <c r="A1" s="301" t="inlineStr">
        <is>
          <t xml:space="preserve">Заявка</t>
        </is>
      </c>
      <c r="C1" s="331" t="str">
        <f>HYPERLINK("#'Заявка'!B860",IF($L$5&gt;0,"Ваша заявка: "&amp;$L$5&amp;" поз. ↓","Ваша заявка ↓"))</f>
        <v>Ваша заявка ↓</v>
      </c>
      <c r="G1" s="302" t="inlineStr">
        <is>
          <t xml:space="preserve">наличие на 05.10.2026</t>
        </is>
      </c>
    </row>
    <row r="2" ht="6" customHeight="1"/>
    <row r="3" ht="20" customHeight="1">
      <c r="A3" s="303" t="inlineStr">
        <is>
          <t xml:space="preserve">Основной прайс</t>
        </is>
      </c>
      <c r="B3" s="304"/>
      <c r="C3" s="304" t="str">
        <f>CHOOSE(K3,"крупный опт","средний опт · до крупного опта ещё "&amp;IF(H3&gt;=1000,INT(H3/1000)&amp;" "&amp;TEXT(MOD(H3,1000),"000"),H3&amp;"")&amp;" ₽","мелкий опт · до среднего опта ещё "&amp;IF(H3&gt;=1000,INT(H3/1000)&amp;" "&amp;TEXT(MOD(H3,1000),"000"),H3&amp;"")&amp;" ₽")</f>
        <v>мелкий опт · до среднего опта ещё 50 000 ₽</v>
      </c>
      <c r="D3" s="304"/>
      <c r="E3" s="304"/>
      <c r="F3" s="304"/>
      <c r="G3" s="305">
        <f>SUM(G8:G762)</f>
        <v>0</v>
      </c>
      <c r="H3" s="320">
        <f>ROUNDUP(CHOOSE(K3,0,140000-SUM(J8:J762),50000-SUM(K8:K762)),0)</f>
        <v>50000</v>
      </c>
      <c r="K3" s="320">
        <f>IF(SUM(J8:J762)&gt;=140000,1,IF(SUM(K8:K762)&gt;=50000,2,3))</f>
        <v>3</v>
      </c>
    </row>
    <row r="4" ht="20" customHeight="1">
      <c r="A4" s="303" t="inlineStr">
        <is>
          <t xml:space="preserve">Тонировочный инструмент</t>
        </is>
      </c>
      <c r="B4" s="304"/>
      <c r="C4" s="304" t="str">
        <f>CHOOSE(K4,"крупный опт","средний опт · до крупного опта ещё "&amp;IF(H4&gt;=1000,INT(H4/1000)&amp;" "&amp;TEXT(MOD(H4,1000),"000"),H4&amp;"")&amp;" ₽","мелкий опт · до среднего опта ещё "&amp;IF(H4&gt;=1000,INT(H4/1000)&amp;" "&amp;TEXT(MOD(H4,1000),"000"),H4&amp;"")&amp;" ₽")</f>
        <v>мелкий опт · до среднего опта ещё 25 000 ₽</v>
      </c>
      <c r="D4" s="304"/>
      <c r="E4" s="304"/>
      <c r="F4" s="304"/>
      <c r="G4" s="305">
        <f>SUM(G763:G858)</f>
        <v>0</v>
      </c>
      <c r="H4" s="320">
        <f>ROUNDUP(CHOOSE(K4,0,90000-SUM(J763:J858),25000-SUM(K763:K858)),0)</f>
        <v>25000</v>
      </c>
      <c r="K4" s="320">
        <f>IF(SUM(J763:J858)&gt;=90000,1,IF(SUM(K763:K858)&gt;=25000,2,3))</f>
        <v>3</v>
      </c>
    </row>
    <row r="5" ht="24" customHeight="1">
      <c r="A5" s="306" t="inlineStr">
        <is>
          <t xml:space="preserve">ИТОГО</t>
        </is>
      </c>
      <c r="B5" s="307"/>
      <c r="C5" s="307" t="str">
        <f>IF(AND(G5&gt;0,G5&lt;17000),"минимальная сумма заказа 17 000 ₽","")</f>
        <v/>
      </c>
      <c r="D5" s="307"/>
      <c r="E5" s="307"/>
      <c r="F5" s="307"/>
      <c r="G5" s="308">
        <f>G3+G4</f>
        <v>0</v>
      </c>
      <c r="L5" s="320">
        <f>COUNTIF($I$8:$I$858,"&gt;0")</f>
        <v>0</v>
      </c>
    </row>
    <row r="7" ht="30" customHeight="1">
      <c r="A7" s="309" t="inlineStr">
        <is>
          <t xml:space="preserve">Раздел</t>
        </is>
      </c>
      <c r="B7" s="309" t="inlineStr">
        <is>
          <t xml:space="preserve">Артикул</t>
        </is>
      </c>
      <c r="C7" s="309" t="inlineStr">
        <is>
          <t xml:space="preserve">Описание</t>
        </is>
      </c>
      <c r="D7" s="309" t="inlineStr">
        <is>
          <t xml:space="preserve">Наличие</t>
        </is>
      </c>
      <c r="E7" s="309" t="inlineStr">
        <is>
          <t xml:space="preserve">Кол-во</t>
        </is>
      </c>
      <c r="F7" s="309" t="inlineStr">
        <is>
          <t xml:space="preserve">Цена</t>
        </is>
      </c>
      <c r="G7" s="309" t="inlineStr">
        <is>
          <t xml:space="preserve">Сумма</t>
        </is>
      </c>
    </row>
    <row r="8" ht="28" customHeight="1">
      <c r="A8" s="310" t="inlineStr">
        <is>
          <t xml:space="preserve">Изолента</t>
        </is>
      </c>
      <c r="B8" s="310"/>
      <c r="C8" s="310"/>
      <c r="D8" s="310"/>
      <c r="E8" s="310"/>
      <c r="F8" s="310"/>
      <c r="G8" s="310"/>
      <c r="L8" s="320">
        <f>N(L7)+(N(I8)&gt;0)</f>
        <v>0</v>
      </c>
    </row>
    <row r="9" ht="24" customHeight="1">
      <c r="A9" s="321" t="inlineStr">
        <is>
          <t xml:space="preserve">Изолента</t>
        </is>
      </c>
      <c r="B9" s="311" t="inlineStr">
        <is>
          <t xml:space="preserve">КЛЕЙКИЕ ЛЕНТЫ</t>
        </is>
      </c>
      <c r="L9" s="320">
        <f>N(L8)+(N(I9)&gt;0)</f>
        <v>0</v>
      </c>
    </row>
    <row r="10" ht="20" customHeight="1">
      <c r="A10" s="321" t="inlineStr">
        <is>
          <t xml:space="preserve">Изолента</t>
        </is>
      </c>
      <c r="B10" s="312" t="inlineStr">
        <is>
          <t xml:space="preserve">Профессиональные клейкие ленты для автосервиса</t>
        </is>
      </c>
      <c r="L10" s="320">
        <f>N(L9)+(N(I10)&gt;0)</f>
        <v>0</v>
      </c>
    </row>
    <row r="11" ht="20" customHeight="1">
      <c r="A11" s="321" t="inlineStr">
        <is>
          <t xml:space="preserve">Изолента</t>
        </is>
      </c>
      <c r="B11" s="312" t="inlineStr">
        <is>
          <t xml:space="preserve">Изолента класса "premium"</t>
        </is>
      </c>
      <c r="L11" s="320">
        <f>N(L10)+(N(I11)&gt;0)</f>
        <v>0</v>
      </c>
    </row>
    <row r="12">
      <c r="A12" s="321" t="inlineStr">
        <is>
          <t xml:space="preserve">Изолента</t>
        </is>
      </c>
      <c r="B12" s="314" t="str">
        <f>'Изолента'!A10&amp;""</f>
        <v>IZ 1510S</v>
      </c>
      <c r="C12" s="315" t="str">
        <f>'Изолента'!B10&amp;""</f>
        <v>ПВХ; черная; 15ммх10м, толщина 0,13мм </v>
      </c>
      <c r="D12" s="316" t="str">
        <f>IF('Изолента'!H10="+","есть",IF('Изолента'!H10="-","нет",""))</f>
        <v>нет</v>
      </c>
      <c r="E12" s="317"/>
      <c r="F12" s="318">
        <f>IF(N('Изолента'!G10)&lt;=0,"по запросу",CHOOSE($K$3,IF(N('Изолента'!E10)&gt;0,N('Изолента'!E10),N('Изолента'!G10)),IF(N('Изолента'!F10)&gt;0,N('Изолента'!F10),N('Изолента'!G10)),N('Изолента'!G10)))</f>
        <v>71.6</v>
      </c>
      <c r="G12" s="319" t="str">
        <f>IF(I12&lt;=0,"",IF(ISNUMBER(F12),I12*F12,"по запросу"))</f>
        <v/>
      </c>
      <c r="H12" s="320">
        <f>N('Изолента'!I10)</f>
        <v>0</v>
      </c>
      <c r="I12" s="320">
        <f>IF(N(E12)&gt;0,N(E12),H12)</f>
        <v>0</v>
      </c>
      <c r="J12" s="320">
        <f>I12*IF(N('Изолента'!E10)&gt;0,N('Изолента'!E10),N('Изолента'!G10))</f>
        <v>0</v>
      </c>
      <c r="K12" s="320">
        <f>I12*IF(N('Изолента'!F10)&gt;0,N('Изолента'!F10),N('Изолента'!G10))</f>
        <v>0</v>
      </c>
      <c r="L12" s="320">
        <f>N(L11)+(N(I12)&gt;0)</f>
        <v>0</v>
      </c>
    </row>
    <row r="13">
      <c r="A13" s="321" t="inlineStr">
        <is>
          <t xml:space="preserve">Изолента</t>
        </is>
      </c>
      <c r="B13" s="314" t="str">
        <f>'Изолента'!A11&amp;""</f>
        <v>IZ 1920S</v>
      </c>
      <c r="C13" s="315" t="str">
        <f>'Изолента'!B11&amp;""</f>
        <v>ПВХ; черная; 19ммх20м, толщина 0,13мм</v>
      </c>
      <c r="D13" s="316" t="str">
        <f>IF('Изолента'!H11="+","есть",IF('Изолента'!H11="-","нет",""))</f>
        <v>есть</v>
      </c>
      <c r="E13" s="317"/>
      <c r="F13" s="318">
        <f>IF(N('Изолента'!G11)&lt;=0,"по запросу",CHOOSE($K$3,IF(N('Изолента'!E11)&gt;0,N('Изолента'!E11),N('Изолента'!G11)),IF(N('Изолента'!F11)&gt;0,N('Изолента'!F11),N('Изолента'!G11)),N('Изолента'!G11)))</f>
        <v>152.3</v>
      </c>
      <c r="G13" s="319" t="str">
        <f>IF(I13&lt;=0,"",IF(ISNUMBER(F13),I13*F13,"по запросу"))</f>
        <v/>
      </c>
      <c r="H13" s="320">
        <f>N('Изолента'!I11)</f>
        <v>0</v>
      </c>
      <c r="I13" s="320">
        <f>IF(N(E13)&gt;0,N(E13),H13)</f>
        <v>0</v>
      </c>
      <c r="J13" s="320">
        <f>I13*IF(N('Изолента'!E11)&gt;0,N('Изолента'!E11),N('Изолента'!G11))</f>
        <v>0</v>
      </c>
      <c r="K13" s="320">
        <f>I13*IF(N('Изолента'!F11)&gt;0,N('Изолента'!F11),N('Изолента'!G11))</f>
        <v>0</v>
      </c>
      <c r="L13" s="320">
        <f>N(L12)+(N(I13)&gt;0)</f>
        <v>0</v>
      </c>
    </row>
    <row r="14">
      <c r="A14" s="321" t="inlineStr">
        <is>
          <t xml:space="preserve">Изолента</t>
        </is>
      </c>
      <c r="B14" s="314" t="str">
        <f>'Изолента'!A12&amp;""</f>
        <v>IZ 1920s-11</v>
      </c>
      <c r="C14" s="315" t="str">
        <f>'Изолента'!B12&amp;""</f>
        <v>ПВХ; черная; 19ммх20м, толщина 0,10мм</v>
      </c>
      <c r="D14" s="316" t="str">
        <f>IF('Изолента'!H12="+","есть",IF('Изолента'!H12="-","нет",""))</f>
        <v>есть</v>
      </c>
      <c r="E14" s="317"/>
      <c r="F14" s="318">
        <f>IF(N('Изолента'!G12)&lt;=0,"по запросу",CHOOSE($K$3,IF(N('Изолента'!E12)&gt;0,N('Изолента'!E12),N('Изолента'!G12)),IF(N('Изолента'!F12)&gt;0,N('Изолента'!F12),N('Изолента'!G12)),N('Изолента'!G12)))</f>
        <v>132.6</v>
      </c>
      <c r="G14" s="319" t="str">
        <f>IF(I14&lt;=0,"",IF(ISNUMBER(F14),I14*F14,"по запросу"))</f>
        <v/>
      </c>
      <c r="H14" s="320">
        <f>N('Изолента'!I12)</f>
        <v>0</v>
      </c>
      <c r="I14" s="320">
        <f>IF(N(E14)&gt;0,N(E14),H14)</f>
        <v>0</v>
      </c>
      <c r="J14" s="320">
        <f>I14*IF(N('Изолента'!E12)&gt;0,N('Изолента'!E12),N('Изолента'!G12))</f>
        <v>0</v>
      </c>
      <c r="K14" s="320">
        <f>I14*IF(N('Изолента'!F12)&gt;0,N('Изолента'!F12),N('Изолента'!G12))</f>
        <v>0</v>
      </c>
      <c r="L14" s="320">
        <f>N(L13)+(N(I14)&gt;0)</f>
        <v>0</v>
      </c>
    </row>
    <row r="15">
      <c r="A15" s="321" t="inlineStr">
        <is>
          <t xml:space="preserve">Изолента</t>
        </is>
      </c>
      <c r="B15" s="314" t="str">
        <f>'Изолента'!A13&amp;""</f>
        <v>IZC 1510</v>
      </c>
      <c r="C15" s="315" t="str">
        <f>'Изолента'!B13&amp;""</f>
        <v>ПВХ; черная; 15ммх10м, толщина 0,15мм, холодостойкая, самозатухающая</v>
      </c>
      <c r="D15" s="316" t="str">
        <f>IF('Изолента'!H13="+","есть",IF('Изолента'!H13="-","нет",""))</f>
        <v>нет</v>
      </c>
      <c r="E15" s="317"/>
      <c r="F15" s="318">
        <f>IF(N('Изолента'!G13)&lt;=0,"по запросу",CHOOSE($K$3,IF(N('Изолента'!E13)&gt;0,N('Изолента'!E13),N('Изолента'!G13)),IF(N('Изолента'!F13)&gt;0,N('Изолента'!F13),N('Изолента'!G13)),N('Изолента'!G13)))</f>
        <v>94.6</v>
      </c>
      <c r="G15" s="319" t="str">
        <f>IF(I15&lt;=0,"",IF(ISNUMBER(F15),I15*F15,"по запросу"))</f>
        <v/>
      </c>
      <c r="H15" s="320">
        <f>N('Изолента'!I13)</f>
        <v>0</v>
      </c>
      <c r="I15" s="320">
        <f>IF(N(E15)&gt;0,N(E15),H15)</f>
        <v>0</v>
      </c>
      <c r="J15" s="320">
        <f>I15*IF(N('Изолента'!E13)&gt;0,N('Изолента'!E13),N('Изолента'!G13))</f>
        <v>0</v>
      </c>
      <c r="K15" s="320">
        <f>I15*IF(N('Изолента'!F13)&gt;0,N('Изолента'!F13),N('Изолента'!G13))</f>
        <v>0</v>
      </c>
      <c r="L15" s="320">
        <f>N(L14)+(N(I15)&gt;0)</f>
        <v>0</v>
      </c>
    </row>
    <row r="16">
      <c r="A16" s="321" t="inlineStr">
        <is>
          <t xml:space="preserve">Изолента</t>
        </is>
      </c>
      <c r="B16" s="314" t="str">
        <f>'Изолента'!A14&amp;""</f>
        <v>IZC 1920</v>
      </c>
      <c r="C16" s="315" t="str">
        <f>'Изолента'!B14&amp;""</f>
        <v>ПВХ; черная; 19ммх20м, толщина 0,15мм, холодостойкая, самозатухающая</v>
      </c>
      <c r="D16" s="316" t="str">
        <f>IF('Изолента'!H14="+","есть",IF('Изолента'!H14="-","нет",""))</f>
        <v>нет</v>
      </c>
      <c r="E16" s="317"/>
      <c r="F16" s="318">
        <f>IF(N('Изолента'!G14)&lt;=0,"по запросу",CHOOSE($K$3,IF(N('Изолента'!E14)&gt;0,N('Изолента'!E14),N('Изолента'!G14)),IF(N('Изолента'!F14)&gt;0,N('Изолента'!F14),N('Изолента'!G14)),N('Изолента'!G14)))</f>
        <v>201.9</v>
      </c>
      <c r="G16" s="319" t="str">
        <f>IF(I16&lt;=0,"",IF(ISNUMBER(F16),I16*F16,"по запросу"))</f>
        <v/>
      </c>
      <c r="H16" s="320">
        <f>N('Изолента'!I14)</f>
        <v>0</v>
      </c>
      <c r="I16" s="320">
        <f>IF(N(E16)&gt;0,N(E16),H16)</f>
        <v>0</v>
      </c>
      <c r="J16" s="320">
        <f>I16*IF(N('Изолента'!E14)&gt;0,N('Изолента'!E14),N('Изолента'!G14))</f>
        <v>0</v>
      </c>
      <c r="K16" s="320">
        <f>I16*IF(N('Изолента'!F14)&gt;0,N('Изолента'!F14),N('Изолента'!G14))</f>
        <v>0</v>
      </c>
      <c r="L16" s="320">
        <f>N(L15)+(N(I16)&gt;0)</f>
        <v>0</v>
      </c>
    </row>
    <row r="17">
      <c r="A17" s="321" t="inlineStr">
        <is>
          <t xml:space="preserve">Изолента</t>
        </is>
      </c>
      <c r="B17" s="314" t="str">
        <f>'Изолента'!A15&amp;""</f>
        <v>IZN 1920</v>
      </c>
      <c r="C17" s="315" t="str">
        <f>'Изолента'!B15&amp;""</f>
        <v>ПВХ; черная; беcклеевая (для жгутов)19ммх20м,толщина 0,12мм</v>
      </c>
      <c r="D17" s="316" t="str">
        <f>IF('Изолента'!H15="+","есть",IF('Изолента'!H15="-","нет",""))</f>
        <v>есть</v>
      </c>
      <c r="E17" s="317"/>
      <c r="F17" s="318">
        <f>IF(N('Изолента'!G15)&lt;=0,"по запросу",CHOOSE($K$3,IF(N('Изолента'!E15)&gt;0,N('Изолента'!E15),N('Изолента'!G15)),IF(N('Изолента'!F15)&gt;0,N('Изолента'!F15),N('Изолента'!G15)),N('Изолента'!G15)))</f>
        <v>126.3</v>
      </c>
      <c r="G17" s="319" t="str">
        <f>IF(I17&lt;=0,"",IF(ISNUMBER(F17),I17*F17,"по запросу"))</f>
        <v/>
      </c>
      <c r="H17" s="320">
        <f>N('Изолента'!I15)</f>
        <v>0</v>
      </c>
      <c r="I17" s="320">
        <f>IF(N(E17)&gt;0,N(E17),H17)</f>
        <v>0</v>
      </c>
      <c r="J17" s="320">
        <f>I17*IF(N('Изолента'!E15)&gt;0,N('Изолента'!E15),N('Изолента'!G15))</f>
        <v>0</v>
      </c>
      <c r="K17" s="320">
        <f>I17*IF(N('Изолента'!F15)&gt;0,N('Изолента'!F15),N('Изолента'!G15))</f>
        <v>0</v>
      </c>
      <c r="L17" s="320">
        <f>N(L16)+(N(I17)&gt;0)</f>
        <v>0</v>
      </c>
    </row>
    <row r="18">
      <c r="A18" s="321" t="inlineStr">
        <is>
          <t xml:space="preserve">Изолента</t>
        </is>
      </c>
      <c r="B18" s="314" t="str">
        <f>'Изолента'!A16&amp;""</f>
        <v>00645</v>
      </c>
      <c r="C18" s="315" t="str">
        <f>'Изолента'!B16&amp;""</f>
        <v>ПВХ; черная; 15ммх10м, толщина 0,13мм, суперэластичная </v>
      </c>
      <c r="D18" s="316" t="str">
        <f>IF('Изолента'!H16="+","есть",IF('Изолента'!H16="-","нет",""))</f>
        <v>есть</v>
      </c>
      <c r="E18" s="317"/>
      <c r="F18" s="318">
        <f>IF(N('Изолента'!G16)&lt;=0,"по запросу",CHOOSE($K$3,IF(N('Изолента'!E16)&gt;0,N('Изолента'!E16),N('Изолента'!G16)),IF(N('Изолента'!F16)&gt;0,N('Изолента'!F16),N('Изолента'!G16)),N('Изолента'!G16)))</f>
        <v>68.3</v>
      </c>
      <c r="G18" s="319" t="str">
        <f>IF(I18&lt;=0,"",IF(ISNUMBER(F18),I18*F18,"по запросу"))</f>
        <v/>
      </c>
      <c r="H18" s="320">
        <f>N('Изолента'!I16)</f>
        <v>0</v>
      </c>
      <c r="I18" s="320">
        <f>IF(N(E18)&gt;0,N(E18),H18)</f>
        <v>0</v>
      </c>
      <c r="J18" s="320">
        <f>I18*IF(N('Изолента'!E16)&gt;0,N('Изолента'!E16),N('Изолента'!G16))</f>
        <v>0</v>
      </c>
      <c r="K18" s="320">
        <f>I18*IF(N('Изолента'!F16)&gt;0,N('Изолента'!F16),N('Изолента'!G16))</f>
        <v>0</v>
      </c>
      <c r="L18" s="320">
        <f>N(L17)+(N(I18)&gt;0)</f>
        <v>0</v>
      </c>
    </row>
    <row r="19">
      <c r="A19" s="321" t="inlineStr">
        <is>
          <t xml:space="preserve">Изолента</t>
        </is>
      </c>
      <c r="B19" s="314" t="str">
        <f>'Изолента'!A17&amp;""</f>
        <v>00745</v>
      </c>
      <c r="C19" s="315" t="str">
        <f>'Изолента'!B17&amp;""</f>
        <v>ПВХ; черная; 15ммх10м, толщина 0,16мм, суперэластичная, холодостойкая</v>
      </c>
      <c r="D19" s="316" t="str">
        <f>IF('Изолента'!H17="+","есть",IF('Изолента'!H17="-","нет",""))</f>
        <v>есть</v>
      </c>
      <c r="E19" s="317"/>
      <c r="F19" s="318">
        <f>IF(N('Изолента'!G17)&lt;=0,"по запросу",CHOOSE($K$3,IF(N('Изолента'!E17)&gt;0,N('Изолента'!E17),N('Изолента'!G17)),IF(N('Изолента'!F17)&gt;0,N('Изолента'!F17),N('Изолента'!G17)),N('Изолента'!G17)))</f>
        <v>83.4</v>
      </c>
      <c r="G19" s="319" t="str">
        <f>IF(I19&lt;=0,"",IF(ISNUMBER(F19),I19*F19,"по запросу"))</f>
        <v/>
      </c>
      <c r="H19" s="320">
        <f>N('Изолента'!I17)</f>
        <v>0</v>
      </c>
      <c r="I19" s="320">
        <f>IF(N(E19)&gt;0,N(E19),H19)</f>
        <v>0</v>
      </c>
      <c r="J19" s="320">
        <f>I19*IF(N('Изолента'!E17)&gt;0,N('Изолента'!E17),N('Изолента'!G17))</f>
        <v>0</v>
      </c>
      <c r="K19" s="320">
        <f>I19*IF(N('Изолента'!F17)&gt;0,N('Изолента'!F17),N('Изолента'!G17))</f>
        <v>0</v>
      </c>
      <c r="L19" s="320">
        <f>N(L18)+(N(I19)&gt;0)</f>
        <v>0</v>
      </c>
    </row>
    <row r="20" ht="20" customHeight="1">
      <c r="A20" s="321" t="inlineStr">
        <is>
          <t xml:space="preserve">Изолента</t>
        </is>
      </c>
      <c r="B20" s="312" t="inlineStr">
        <is>
          <t xml:space="preserve">Лента малярная класса "premium"</t>
        </is>
      </c>
      <c r="L20" s="320">
        <f>N(L19)+(N(I20)&gt;0)</f>
        <v>0</v>
      </c>
    </row>
    <row r="21">
      <c r="A21" s="321" t="inlineStr">
        <is>
          <t xml:space="preserve">Изолента</t>
        </is>
      </c>
      <c r="B21" s="314" t="str">
        <f>'Изолента'!A19&amp;""</f>
        <v>MT 5060</v>
      </c>
      <c r="C21" s="315" t="str">
        <f>'Изолента'!B19&amp;""</f>
        <v>Креп; белая; 50ммх60м, толщина 0,145мм, серия "Premium"</v>
      </c>
      <c r="D21" s="316" t="str">
        <f>IF('Изолента'!H19="+","есть",IF('Изолента'!H19="-","нет",""))</f>
        <v>есть</v>
      </c>
      <c r="E21" s="317"/>
      <c r="F21" s="318">
        <f>IF(N('Изолента'!G19)&lt;=0,"по запросу",CHOOSE($K$3,IF(N('Изолента'!E19)&gt;0,N('Изолента'!E19),N('Изолента'!G19)),IF(N('Изолента'!F19)&gt;0,N('Изолента'!F19),N('Изолента'!G19)),N('Изолента'!G19)))</f>
        <v>744.5</v>
      </c>
      <c r="G21" s="319" t="str">
        <f>IF(I21&lt;=0,"",IF(ISNUMBER(F21),I21*F21,"по запросу"))</f>
        <v/>
      </c>
      <c r="H21" s="320">
        <f>N('Изолента'!I19)</f>
        <v>0</v>
      </c>
      <c r="I21" s="320">
        <f>IF(N(E21)&gt;0,N(E21),H21)</f>
        <v>0</v>
      </c>
      <c r="J21" s="320">
        <f>I21*IF(N('Изолента'!E19)&gt;0,N('Изолента'!E19),N('Изолента'!G19))</f>
        <v>0</v>
      </c>
      <c r="K21" s="320">
        <f>I21*IF(N('Изолента'!F19)&gt;0,N('Изолента'!F19),N('Изолента'!G19))</f>
        <v>0</v>
      </c>
      <c r="L21" s="320">
        <f>N(L20)+(N(I21)&gt;0)</f>
        <v>0</v>
      </c>
    </row>
    <row r="22" ht="20" customHeight="1">
      <c r="A22" s="321" t="inlineStr">
        <is>
          <t xml:space="preserve">Изолента</t>
        </is>
      </c>
      <c r="B22" s="312" t="inlineStr">
        <is>
          <t xml:space="preserve">Скотч 2-х сторонний на вспененной основе класса "premium"</t>
        </is>
      </c>
      <c r="L22" s="320">
        <f>N(L21)+(N(I22)&gt;0)</f>
        <v>0</v>
      </c>
    </row>
    <row r="23">
      <c r="A23" s="321" t="inlineStr">
        <is>
          <t xml:space="preserve">Изолента</t>
        </is>
      </c>
      <c r="B23" s="314" t="str">
        <f>'Изолента'!A21&amp;""</f>
        <v>ST 610</v>
      </c>
      <c r="C23" s="315" t="str">
        <f>'Изолента'!B21&amp;""</f>
        <v>П/э вспененный; черный, 6ммх10м, толщина 1мм, для молдингов, эмблем, зеленый лайнер</v>
      </c>
      <c r="D23" s="316" t="str">
        <f>IF('Изолента'!H21="+","есть",IF('Изолента'!H21="-","нет",""))</f>
        <v>есть</v>
      </c>
      <c r="E23" s="317"/>
      <c r="F23" s="318">
        <f>IF(N('Изолента'!G21)&lt;=0,"по запросу",CHOOSE($K$3,IF(N('Изолента'!E21)&gt;0,N('Изолента'!E21),N('Изолента'!G21)),IF(N('Изолента'!F21)&gt;0,N('Изолента'!F21),N('Изолента'!G21)),N('Изолента'!G21)))</f>
        <v>133.5</v>
      </c>
      <c r="G23" s="319" t="str">
        <f>IF(I23&lt;=0,"",IF(ISNUMBER(F23),I23*F23,"по запросу"))</f>
        <v/>
      </c>
      <c r="H23" s="320">
        <f>N('Изолента'!I21)</f>
        <v>0</v>
      </c>
      <c r="I23" s="320">
        <f>IF(N(E23)&gt;0,N(E23),H23)</f>
        <v>0</v>
      </c>
      <c r="J23" s="320">
        <f>I23*IF(N('Изолента'!E21)&gt;0,N('Изолента'!E21),N('Изолента'!G21))</f>
        <v>0</v>
      </c>
      <c r="K23" s="320">
        <f>I23*IF(N('Изолента'!F21)&gt;0,N('Изолента'!F21),N('Изолента'!G21))</f>
        <v>0</v>
      </c>
      <c r="L23" s="320">
        <f>N(L22)+(N(I23)&gt;0)</f>
        <v>0</v>
      </c>
    </row>
    <row r="24">
      <c r="A24" s="321" t="inlineStr">
        <is>
          <t xml:space="preserve">Изолента</t>
        </is>
      </c>
      <c r="B24" s="314" t="str">
        <f>'Изолента'!A22&amp;""</f>
        <v>ST 910</v>
      </c>
      <c r="C24" s="315" t="str">
        <f>'Изолента'!B22&amp;""</f>
        <v>П/э вспененный; черный, 9ммх10м, толщина 1мм, для молдингов, эмблем, зеленый лайнер</v>
      </c>
      <c r="D24" s="316" t="str">
        <f>IF('Изолента'!H22="+","есть",IF('Изолента'!H22="-","нет",""))</f>
        <v>есть</v>
      </c>
      <c r="E24" s="317"/>
      <c r="F24" s="318">
        <f>IF(N('Изолента'!G22)&lt;=0,"по запросу",CHOOSE($K$3,IF(N('Изолента'!E22)&gt;0,N('Изолента'!E22),N('Изолента'!G22)),IF(N('Изолента'!F22)&gt;0,N('Изолента'!F22),N('Изолента'!G22)),N('Изолента'!G22)))</f>
        <v>199.9</v>
      </c>
      <c r="G24" s="319" t="str">
        <f>IF(I24&lt;=0,"",IF(ISNUMBER(F24),I24*F24,"по запросу"))</f>
        <v/>
      </c>
      <c r="H24" s="320">
        <f>N('Изолента'!I22)</f>
        <v>0</v>
      </c>
      <c r="I24" s="320">
        <f>IF(N(E24)&gt;0,N(E24),H24)</f>
        <v>0</v>
      </c>
      <c r="J24" s="320">
        <f>I24*IF(N('Изолента'!E22)&gt;0,N('Изолента'!E22),N('Изолента'!G22))</f>
        <v>0</v>
      </c>
      <c r="K24" s="320">
        <f>I24*IF(N('Изолента'!F22)&gt;0,N('Изолента'!F22),N('Изолента'!G22))</f>
        <v>0</v>
      </c>
      <c r="L24" s="320">
        <f>N(L23)+(N(I24)&gt;0)</f>
        <v>0</v>
      </c>
    </row>
    <row r="25">
      <c r="A25" s="321" t="inlineStr">
        <is>
          <t xml:space="preserve">Изолента</t>
        </is>
      </c>
      <c r="B25" s="314" t="str">
        <f>'Изолента'!A23&amp;""</f>
        <v>ST 1210</v>
      </c>
      <c r="C25" s="315" t="str">
        <f>'Изолента'!B23&amp;""</f>
        <v>П/э вспененный; черный, 12ммх10м, толщина 1,0мм, для молдингов, деталей интерьера,  зеленый лайнер</v>
      </c>
      <c r="D25" s="316" t="str">
        <f>IF('Изолента'!H23="+","есть",IF('Изолента'!H23="-","нет",""))</f>
        <v>есть</v>
      </c>
      <c r="E25" s="317"/>
      <c r="F25" s="318">
        <f>IF(N('Изолента'!G23)&lt;=0,"по запросу",CHOOSE($K$3,IF(N('Изолента'!E23)&gt;0,N('Изолента'!E23),N('Изолента'!G23)),IF(N('Изолента'!F23)&gt;0,N('Изолента'!F23),N('Изолента'!G23)),N('Изолента'!G23)))</f>
        <v>265.8</v>
      </c>
      <c r="G25" s="319" t="str">
        <f>IF(I25&lt;=0,"",IF(ISNUMBER(F25),I25*F25,"по запросу"))</f>
        <v/>
      </c>
      <c r="H25" s="320">
        <f>N('Изолента'!I23)</f>
        <v>0</v>
      </c>
      <c r="I25" s="320">
        <f>IF(N(E25)&gt;0,N(E25),H25)</f>
        <v>0</v>
      </c>
      <c r="J25" s="320">
        <f>I25*IF(N('Изолента'!E23)&gt;0,N('Изолента'!E23),N('Изолента'!G23))</f>
        <v>0</v>
      </c>
      <c r="K25" s="320">
        <f>I25*IF(N('Изолента'!F23)&gt;0,N('Изолента'!F23),N('Изолента'!G23))</f>
        <v>0</v>
      </c>
      <c r="L25" s="320">
        <f>N(L24)+(N(I25)&gt;0)</f>
        <v>0</v>
      </c>
    </row>
    <row r="26">
      <c r="A26" s="321" t="inlineStr">
        <is>
          <t xml:space="preserve">Изолента</t>
        </is>
      </c>
      <c r="B26" s="314" t="str">
        <f>'Изолента'!A24&amp;""</f>
        <v>ST 1910</v>
      </c>
      <c r="C26" s="315" t="str">
        <f>'Изолента'!B24&amp;""</f>
        <v>П/э вспененный; черный, 19ммх10м, толщина 1,0мм, для молдингов, деталей интерьера, зеленый лайнер</v>
      </c>
      <c r="D26" s="316" t="str">
        <f>IF('Изолента'!H24="+","есть",IF('Изолента'!H24="-","нет",""))</f>
        <v>есть</v>
      </c>
      <c r="E26" s="317"/>
      <c r="F26" s="318">
        <f>IF(N('Изолента'!G24)&lt;=0,"по запросу",CHOOSE($K$3,IF(N('Изолента'!E24)&gt;0,N('Изолента'!E24),N('Изолента'!G24)),IF(N('Изолента'!F24)&gt;0,N('Изолента'!F24),N('Изолента'!G24)),N('Изолента'!G24)))</f>
        <v>410.6</v>
      </c>
      <c r="G26" s="319" t="str">
        <f>IF(I26&lt;=0,"",IF(ISNUMBER(F26),I26*F26,"по запросу"))</f>
        <v/>
      </c>
      <c r="H26" s="320">
        <f>N('Изолента'!I24)</f>
        <v>0</v>
      </c>
      <c r="I26" s="320">
        <f>IF(N(E26)&gt;0,N(E26),H26)</f>
        <v>0</v>
      </c>
      <c r="J26" s="320">
        <f>I26*IF(N('Изолента'!E24)&gt;0,N('Изолента'!E24),N('Изолента'!G24))</f>
        <v>0</v>
      </c>
      <c r="K26" s="320">
        <f>I26*IF(N('Изолента'!F24)&gt;0,N('Изолента'!F24),N('Изолента'!G24))</f>
        <v>0</v>
      </c>
      <c r="L26" s="320">
        <f>N(L25)+(N(I26)&gt;0)</f>
        <v>0</v>
      </c>
    </row>
    <row r="27">
      <c r="A27" s="321" t="inlineStr">
        <is>
          <t xml:space="preserve">Изолента</t>
        </is>
      </c>
      <c r="B27" s="314" t="str">
        <f>'Изолента'!A25&amp;""</f>
        <v>ST 1950</v>
      </c>
      <c r="C27" s="315" t="str">
        <f>'Изолента'!B25&amp;""</f>
        <v>П/э вспененный; черный, 19ммх50м, толщина 1,0мм, для молдингов, деталей интерьера,  зеленый лайнер</v>
      </c>
      <c r="D27" s="316" t="str">
        <f>IF('Изолента'!H25="+","есть",IF('Изолента'!H25="-","нет",""))</f>
        <v>есть</v>
      </c>
      <c r="E27" s="317"/>
      <c r="F27" s="318">
        <f>IF(N('Изолента'!G25)&lt;=0,"по запросу",CHOOSE($K$3,IF(N('Изолента'!E25)&gt;0,N('Изолента'!E25),N('Изолента'!G25)),IF(N('Изолента'!F25)&gt;0,N('Изолента'!F25),N('Изолента'!G25)),N('Изолента'!G25)))</f>
        <v>1755.9</v>
      </c>
      <c r="G27" s="319" t="str">
        <f>IF(I27&lt;=0,"",IF(ISNUMBER(F27),I27*F27,"по запросу"))</f>
        <v/>
      </c>
      <c r="H27" s="320">
        <f>N('Изолента'!I25)</f>
        <v>0</v>
      </c>
      <c r="I27" s="320">
        <f>IF(N(E27)&gt;0,N(E27),H27)</f>
        <v>0</v>
      </c>
      <c r="J27" s="320">
        <f>I27*IF(N('Изолента'!E25)&gt;0,N('Изолента'!E25),N('Изолента'!G25))</f>
        <v>0</v>
      </c>
      <c r="K27" s="320">
        <f>I27*IF(N('Изолента'!F25)&gt;0,N('Изолента'!F25),N('Изолента'!G25))</f>
        <v>0</v>
      </c>
      <c r="L27" s="320">
        <f>N(L26)+(N(I27)&gt;0)</f>
        <v>0</v>
      </c>
    </row>
    <row r="28">
      <c r="A28" s="321" t="inlineStr">
        <is>
          <t xml:space="preserve">Изолента</t>
        </is>
      </c>
      <c r="B28" s="314" t="str">
        <f>'Изолента'!A26&amp;""</f>
        <v>ST2 385</v>
      </c>
      <c r="C28" s="315" t="str">
        <f>'Изолента'!B26&amp;""</f>
        <v>П/э вспененный; черный, 38ммх5м, толщина 1,0мм, для молдингов, деталей интерьера,  зеленый лайнер</v>
      </c>
      <c r="D28" s="316" t="str">
        <f>IF('Изолента'!H26="+","есть",IF('Изолента'!H26="-","нет",""))</f>
        <v>есть</v>
      </c>
      <c r="E28" s="317"/>
      <c r="F28" s="318">
        <f>IF(N('Изолента'!G26)&lt;=0,"по запросу",CHOOSE($K$3,IF(N('Изолента'!E26)&gt;0,N('Изолента'!E26),N('Изолента'!G26)),IF(N('Изолента'!F26)&gt;0,N('Изолента'!F26),N('Изолента'!G26)),N('Изолента'!G26)))</f>
        <v>410.6</v>
      </c>
      <c r="G28" s="319" t="str">
        <f>IF(I28&lt;=0,"",IF(ISNUMBER(F28),I28*F28,"по запросу"))</f>
        <v/>
      </c>
      <c r="H28" s="320">
        <f>N('Изолента'!I26)</f>
        <v>0</v>
      </c>
      <c r="I28" s="320">
        <f>IF(N(E28)&gt;0,N(E28),H28)</f>
        <v>0</v>
      </c>
      <c r="J28" s="320">
        <f>I28*IF(N('Изолента'!E26)&gt;0,N('Изолента'!E26),N('Изолента'!G26))</f>
        <v>0</v>
      </c>
      <c r="K28" s="320">
        <f>I28*IF(N('Изолента'!F26)&gt;0,N('Изолента'!F26),N('Изолента'!G26))</f>
        <v>0</v>
      </c>
      <c r="L28" s="320">
        <f>N(L27)+(N(I28)&gt;0)</f>
        <v>0</v>
      </c>
    </row>
    <row r="29">
      <c r="A29" s="321" t="inlineStr">
        <is>
          <t xml:space="preserve">Изолента</t>
        </is>
      </c>
      <c r="B29" s="314" t="str">
        <f>'Изолента'!A27&amp;""</f>
        <v>ST2 3810</v>
      </c>
      <c r="C29" s="315" t="str">
        <f>'Изолента'!B27&amp;""</f>
        <v>П/э вспененный; черный, 38ммх10м, толщина 1,0мм, для молдингов, деталей интерьера, зеленый лайнер</v>
      </c>
      <c r="D29" s="316" t="str">
        <f>IF('Изолента'!H27="+","есть",IF('Изолента'!H27="-","нет",""))</f>
        <v>есть</v>
      </c>
      <c r="E29" s="317"/>
      <c r="F29" s="318">
        <f>IF(N('Изолента'!G27)&lt;=0,"по запросу",CHOOSE($K$3,IF(N('Изолента'!E27)&gt;0,N('Изолента'!E27),N('Изолента'!G27)),IF(N('Изолента'!F27)&gt;0,N('Изолента'!F27),N('Изолента'!G27)),N('Изолента'!G27)))</f>
        <v>771.9</v>
      </c>
      <c r="G29" s="319" t="str">
        <f>IF(I29&lt;=0,"",IF(ISNUMBER(F29),I29*F29,"по запросу"))</f>
        <v/>
      </c>
      <c r="H29" s="320">
        <f>N('Изолента'!I27)</f>
        <v>0</v>
      </c>
      <c r="I29" s="320">
        <f>IF(N(E29)&gt;0,N(E29),H29)</f>
        <v>0</v>
      </c>
      <c r="J29" s="320">
        <f>I29*IF(N('Изолента'!E27)&gt;0,N('Изолента'!E27),N('Изолента'!G27))</f>
        <v>0</v>
      </c>
      <c r="K29" s="320">
        <f>I29*IF(N('Изолента'!F27)&gt;0,N('Изолента'!F27),N('Изолента'!G27))</f>
        <v>0</v>
      </c>
      <c r="L29" s="320">
        <f>N(L28)+(N(I29)&gt;0)</f>
        <v>0</v>
      </c>
    </row>
    <row r="30">
      <c r="A30" s="321" t="inlineStr">
        <is>
          <t xml:space="preserve">Изолента</t>
        </is>
      </c>
      <c r="B30" s="314" t="str">
        <f>'Изолента'!A28&amp;""</f>
        <v>ST 5010</v>
      </c>
      <c r="C30" s="315" t="str">
        <f>'Изолента'!B28&amp;""</f>
        <v>П/э вспененный; черный, 50ммх10м, толщина 1,0мм, для молдингов, деталей интерьера, зеленый лайнер</v>
      </c>
      <c r="D30" s="316" t="str">
        <f>IF('Изолента'!H28="+","есть",IF('Изолента'!H28="-","нет",""))</f>
        <v>есть</v>
      </c>
      <c r="E30" s="317"/>
      <c r="F30" s="318">
        <f>IF(N('Изолента'!G28)&lt;=0,"по запросу",CHOOSE($K$3,IF(N('Изолента'!E28)&gt;0,N('Изолента'!E28),N('Изолента'!G28)),IF(N('Изолента'!F28)&gt;0,N('Изолента'!F28),N('Изолента'!G28)),N('Изолента'!G28)))</f>
        <v>923.8</v>
      </c>
      <c r="G30" s="319" t="str">
        <f>IF(I30&lt;=0,"",IF(ISNUMBER(F30),I30*F30,"по запросу"))</f>
        <v/>
      </c>
      <c r="H30" s="320">
        <f>N('Изолента'!I28)</f>
        <v>0</v>
      </c>
      <c r="I30" s="320">
        <f>IF(N(E30)&gt;0,N(E30),H30)</f>
        <v>0</v>
      </c>
      <c r="J30" s="320">
        <f>I30*IF(N('Изолента'!E28)&gt;0,N('Изолента'!E28),N('Изолента'!G28))</f>
        <v>0</v>
      </c>
      <c r="K30" s="320">
        <f>I30*IF(N('Изолента'!F28)&gt;0,N('Изолента'!F28),N('Изолента'!G28))</f>
        <v>0</v>
      </c>
      <c r="L30" s="320">
        <f>N(L29)+(N(I30)&gt;0)</f>
        <v>0</v>
      </c>
    </row>
    <row r="31">
      <c r="A31" s="321" t="inlineStr">
        <is>
          <t xml:space="preserve">Изолента</t>
        </is>
      </c>
      <c r="B31" s="314" t="str">
        <f>'Изолента'!A29&amp;""</f>
        <v>STU 910</v>
      </c>
      <c r="C31" s="315" t="str">
        <f>'Изолента'!B29&amp;""</f>
        <v>ЕВА; белый, 9ммх10м, толщина 1,6мм, для молдингов, деталей интерьера, желтый лайнер</v>
      </c>
      <c r="D31" s="316" t="str">
        <f>IF('Изолента'!H29="+","есть",IF('Изолента'!H29="-","нет",""))</f>
        <v>есть</v>
      </c>
      <c r="E31" s="317"/>
      <c r="F31" s="318">
        <f>IF(N('Изолента'!G29)&lt;=0,"по запросу",CHOOSE($K$3,IF(N('Изолента'!E29)&gt;0,N('Изолента'!E29),N('Изолента'!G29)),IF(N('Изолента'!F29)&gt;0,N('Изолента'!F29),N('Изолента'!G29)),N('Изолента'!G29)))</f>
        <v>347.8</v>
      </c>
      <c r="G31" s="319" t="str">
        <f>IF(I31&lt;=0,"",IF(ISNUMBER(F31),I31*F31,"по запросу"))</f>
        <v/>
      </c>
      <c r="H31" s="320">
        <f>N('Изолента'!I29)</f>
        <v>0</v>
      </c>
      <c r="I31" s="320">
        <f>IF(N(E31)&gt;0,N(E31),H31)</f>
        <v>0</v>
      </c>
      <c r="J31" s="320">
        <f>I31*IF(N('Изолента'!E29)&gt;0,N('Изолента'!E29),N('Изолента'!G29))</f>
        <v>0</v>
      </c>
      <c r="K31" s="320">
        <f>I31*IF(N('Изолента'!F29)&gt;0,N('Изолента'!F29),N('Изолента'!G29))</f>
        <v>0</v>
      </c>
      <c r="L31" s="320">
        <f>N(L30)+(N(I31)&gt;0)</f>
        <v>0</v>
      </c>
    </row>
    <row r="32">
      <c r="A32" s="321" t="inlineStr">
        <is>
          <t xml:space="preserve">Изолента</t>
        </is>
      </c>
      <c r="B32" s="314" t="str">
        <f>'Изолента'!A30&amp;""</f>
        <v>STU 1910</v>
      </c>
      <c r="C32" s="315" t="str">
        <f>'Изолента'!B30&amp;""</f>
        <v>ЕВА; белый, 19ммх10м, толщина 1,6мм, для молдингов, деталей интерьера, желтый лайнер</v>
      </c>
      <c r="D32" s="316" t="str">
        <f>IF('Изолента'!H30="+","есть",IF('Изолента'!H30="-","нет",""))</f>
        <v>нет</v>
      </c>
      <c r="E32" s="317"/>
      <c r="F32" s="318">
        <f>IF(N('Изолента'!G30)&lt;=0,"по запросу",CHOOSE($K$3,IF(N('Изолента'!E30)&gt;0,N('Изолента'!E30),N('Изолента'!G30)),IF(N('Изолента'!F30)&gt;0,N('Изолента'!F30),N('Изолента'!G30)),N('Изолента'!G30)))</f>
        <v>711.8</v>
      </c>
      <c r="G32" s="319" t="str">
        <f>IF(I32&lt;=0,"",IF(ISNUMBER(F32),I32*F32,"по запросу"))</f>
        <v/>
      </c>
      <c r="H32" s="320">
        <f>N('Изолента'!I30)</f>
        <v>0</v>
      </c>
      <c r="I32" s="320">
        <f>IF(N(E32)&gt;0,N(E32),H32)</f>
        <v>0</v>
      </c>
      <c r="J32" s="320">
        <f>I32*IF(N('Изолента'!E30)&gt;0,N('Изолента'!E30),N('Изолента'!G30))</f>
        <v>0</v>
      </c>
      <c r="K32" s="320">
        <f>I32*IF(N('Изолента'!F30)&gt;0,N('Изолента'!F30),N('Изолента'!G30))</f>
        <v>0</v>
      </c>
      <c r="L32" s="320">
        <f>N(L31)+(N(I32)&gt;0)</f>
        <v>0</v>
      </c>
    </row>
    <row r="33">
      <c r="A33" s="321" t="inlineStr">
        <is>
          <t xml:space="preserve">Изолента</t>
        </is>
      </c>
      <c r="B33" s="314" t="str">
        <f>'Изолента'!A31&amp;""</f>
        <v>STU 5010</v>
      </c>
      <c r="C33" s="315" t="str">
        <f>'Изолента'!B31&amp;""</f>
        <v>ЕВА; белый, 50ммх10м, толщина 1,6мм, для молдингов, деталей интерьера, желтый лайнер</v>
      </c>
      <c r="D33" s="316" t="str">
        <f>IF('Изолента'!H31="+","есть",IF('Изолента'!H31="-","нет",""))</f>
        <v>есть</v>
      </c>
      <c r="E33" s="317"/>
      <c r="F33" s="318">
        <f>IF(N('Изолента'!G31)&lt;=0,"по запросу",CHOOSE($K$3,IF(N('Изолента'!E31)&gt;0,N('Изолента'!E31),N('Изолента'!G31)),IF(N('Изолента'!F31)&gt;0,N('Изолента'!F31),N('Изолента'!G31)),N('Изолента'!G31)))</f>
        <v>1836.9</v>
      </c>
      <c r="G33" s="319" t="str">
        <f>IF(I33&lt;=0,"",IF(ISNUMBER(F33),I33*F33,"по запросу"))</f>
        <v/>
      </c>
      <c r="H33" s="320">
        <f>N('Изолента'!I31)</f>
        <v>0</v>
      </c>
      <c r="I33" s="320">
        <f>IF(N(E33)&gt;0,N(E33),H33)</f>
        <v>0</v>
      </c>
      <c r="J33" s="320">
        <f>I33*IF(N('Изолента'!E31)&gt;0,N('Изолента'!E31),N('Изолента'!G31))</f>
        <v>0</v>
      </c>
      <c r="K33" s="320">
        <f>I33*IF(N('Изолента'!F31)&gt;0,N('Изолента'!F31),N('Изолента'!G31))</f>
        <v>0</v>
      </c>
      <c r="L33" s="320">
        <f>N(L32)+(N(I33)&gt;0)</f>
        <v>0</v>
      </c>
    </row>
    <row r="34" ht="20" customHeight="1">
      <c r="A34" s="321" t="inlineStr">
        <is>
          <t xml:space="preserve">Изолента</t>
        </is>
      </c>
      <c r="B34" s="312" t="inlineStr">
        <is>
          <t xml:space="preserve">Изолента класса "standart"</t>
        </is>
      </c>
      <c r="L34" s="320">
        <f>N(L33)+(N(I34)&gt;0)</f>
        <v>0</v>
      </c>
    </row>
    <row r="35">
      <c r="A35" s="321" t="inlineStr">
        <is>
          <t xml:space="preserve">Изолента</t>
        </is>
      </c>
      <c r="B35" s="314" t="str">
        <f>'Изолента'!A33&amp;""</f>
        <v>IZT 1925 canvas black</v>
      </c>
      <c r="C35" s="315" t="str">
        <f>'Изолента'!B33&amp;""</f>
        <v>ацетат тканый, черная, 19мм*25м, толщина 0,22мм, резиновый клей, прекрасно впитывает смолы и лаки, может использоваться для обмотки трансф.катушек</v>
      </c>
      <c r="D35" s="316" t="str">
        <f>IF('Изолента'!H33="+","есть",IF('Изолента'!H33="-","нет",""))</f>
        <v>есть</v>
      </c>
      <c r="E35" s="317"/>
      <c r="F35" s="318">
        <f>IF(N('Изолента'!G33)&lt;=0,"по запросу",CHOOSE($K$3,IF(N('Изолента'!E33)&gt;0,N('Изолента'!E33),N('Изолента'!G33)),IF(N('Изолента'!F33)&gt;0,N('Изолента'!F33),N('Изолента'!G33)),N('Изолента'!G33)))</f>
        <v>674.4</v>
      </c>
      <c r="G35" s="319" t="str">
        <f>IF(I35&lt;=0,"",IF(ISNUMBER(F35),I35*F35,"по запросу"))</f>
        <v/>
      </c>
      <c r="H35" s="320">
        <f>N('Изолента'!I33)</f>
        <v>0</v>
      </c>
      <c r="I35" s="320">
        <f>IF(N(E35)&gt;0,N(E35),H35)</f>
        <v>0</v>
      </c>
      <c r="J35" s="320">
        <f>I35*IF(N('Изолента'!E33)&gt;0,N('Изолента'!E33),N('Изолента'!G33))</f>
        <v>0</v>
      </c>
      <c r="K35" s="320">
        <f>I35*IF(N('Изолента'!F33)&gt;0,N('Изолента'!F33),N('Изолента'!G33))</f>
        <v>0</v>
      </c>
      <c r="L35" s="320">
        <f>N(L34)+(N(I35)&gt;0)</f>
        <v>0</v>
      </c>
    </row>
    <row r="36">
      <c r="A36" s="321" t="inlineStr">
        <is>
          <t xml:space="preserve">Изолента</t>
        </is>
      </c>
      <c r="B36" s="314" t="str">
        <f>'Изолента'!A34&amp;""</f>
        <v>IZT 1925 canvas white</v>
      </c>
      <c r="C36" s="315" t="str">
        <f>'Изолента'!B34&amp;""</f>
        <v>ацетат тканый, белая, 19мм*25м, толщина 0,22мм, резиновый клей, прекрасно впитывает смолы и лаки, может использоваться для обмотки трансф.катушек</v>
      </c>
      <c r="D36" s="316" t="str">
        <f>IF('Изолента'!H34="+","есть",IF('Изолента'!H34="-","нет",""))</f>
        <v>есть</v>
      </c>
      <c r="E36" s="317"/>
      <c r="F36" s="318">
        <f>IF(N('Изолента'!G34)&lt;=0,"по запросу",CHOOSE($K$3,IF(N('Изолента'!E34)&gt;0,N('Изолента'!E34),N('Изолента'!G34)),IF(N('Изолента'!F34)&gt;0,N('Изолента'!F34),N('Изолента'!G34)),N('Изолента'!G34)))</f>
        <v>674.4</v>
      </c>
      <c r="G36" s="319" t="str">
        <f>IF(I36&lt;=0,"",IF(ISNUMBER(F36),I36*F36,"по запросу"))</f>
        <v/>
      </c>
      <c r="H36" s="320">
        <f>N('Изолента'!I34)</f>
        <v>0</v>
      </c>
      <c r="I36" s="320">
        <f>IF(N(E36)&gt;0,N(E36),H36)</f>
        <v>0</v>
      </c>
      <c r="J36" s="320">
        <f>I36*IF(N('Изолента'!E34)&gt;0,N('Изолента'!E34),N('Изолента'!G34))</f>
        <v>0</v>
      </c>
      <c r="K36" s="320">
        <f>I36*IF(N('Изолента'!F34)&gt;0,N('Изолента'!F34),N('Изолента'!G34))</f>
        <v>0</v>
      </c>
      <c r="L36" s="320">
        <f>N(L35)+(N(I36)&gt;0)</f>
        <v>0</v>
      </c>
    </row>
    <row r="37">
      <c r="A37" s="321" t="inlineStr">
        <is>
          <t xml:space="preserve">Изолента</t>
        </is>
      </c>
      <c r="B37" s="314" t="str">
        <f>'Изолента'!A35&amp;""</f>
        <v>IZT 1925 fabric</v>
      </c>
      <c r="C37" s="315" t="str">
        <f>'Изолента'!B35&amp;""</f>
        <v>Полиэстер тканый; черная; 19ммх25м, толщина 0,25 мм, акрилатный чувствительный к давлению клей</v>
      </c>
      <c r="D37" s="316" t="str">
        <f>IF('Изолента'!H35="+","есть",IF('Изолента'!H35="-","нет",""))</f>
        <v>есть</v>
      </c>
      <c r="E37" s="317"/>
      <c r="F37" s="318">
        <f>IF(N('Изолента'!G35)&lt;=0,"по запросу",CHOOSE($K$3,IF(N('Изолента'!E35)&gt;0,N('Изолента'!E35),N('Изолента'!G35)),IF(N('Изолента'!F35)&gt;0,N('Изолента'!F35),N('Изолента'!G35)),N('Изолента'!G35)))</f>
        <v>509.6</v>
      </c>
      <c r="G37" s="319" t="str">
        <f>IF(I37&lt;=0,"",IF(ISNUMBER(F37),I37*F37,"по запросу"))</f>
        <v/>
      </c>
      <c r="H37" s="320">
        <f>N('Изолента'!I35)</f>
        <v>0</v>
      </c>
      <c r="I37" s="320">
        <f>IF(N(E37)&gt;0,N(E37),H37)</f>
        <v>0</v>
      </c>
      <c r="J37" s="320">
        <f>I37*IF(N('Изолента'!E35)&gt;0,N('Изолента'!E35),N('Изолента'!G35))</f>
        <v>0</v>
      </c>
      <c r="K37" s="320">
        <f>I37*IF(N('Изолента'!F35)&gt;0,N('Изолента'!F35),N('Изолента'!G35))</f>
        <v>0</v>
      </c>
      <c r="L37" s="320">
        <f>N(L36)+(N(I37)&gt;0)</f>
        <v>0</v>
      </c>
    </row>
    <row r="38">
      <c r="A38" s="321" t="inlineStr">
        <is>
          <t xml:space="preserve">Изолента</t>
        </is>
      </c>
      <c r="B38" s="314" t="str">
        <f>'Изолента'!A36&amp;""</f>
        <v>IZT 1925-19 fabric</v>
      </c>
      <c r="C38" s="315" t="str">
        <f>'Изолента'!B36&amp;""</f>
        <v>Полиэстер тканый; черная; 19ммх25м, толщина 0,16 мм, акрилатный чувствительный к давлению клей</v>
      </c>
      <c r="D38" s="316" t="str">
        <f>IF('Изолента'!H36="+","есть",IF('Изолента'!H36="-","нет",""))</f>
        <v>есть</v>
      </c>
      <c r="E38" s="317"/>
      <c r="F38" s="318">
        <f>IF(N('Изолента'!G36)&lt;=0,"по запросу",CHOOSE($K$3,IF(N('Изолента'!E36)&gt;0,N('Изолента'!E36),N('Изолента'!G36)),IF(N('Изолента'!F36)&gt;0,N('Изолента'!F36),N('Изолента'!G36)),N('Изолента'!G36)))</f>
        <v>448.3</v>
      </c>
      <c r="G38" s="319" t="str">
        <f>IF(I38&lt;=0,"",IF(ISNUMBER(F38),I38*F38,"по запросу"))</f>
        <v/>
      </c>
      <c r="H38" s="320">
        <f>N('Изолента'!I36)</f>
        <v>0</v>
      </c>
      <c r="I38" s="320">
        <f>IF(N(E38)&gt;0,N(E38),H38)</f>
        <v>0</v>
      </c>
      <c r="J38" s="320">
        <f>I38*IF(N('Изолента'!E36)&gt;0,N('Изолента'!E36),N('Изолента'!G36))</f>
        <v>0</v>
      </c>
      <c r="K38" s="320">
        <f>I38*IF(N('Изолента'!F36)&gt;0,N('Изолента'!F36),N('Изолента'!G36))</f>
        <v>0</v>
      </c>
      <c r="L38" s="320">
        <f>N(L37)+(N(I38)&gt;0)</f>
        <v>0</v>
      </c>
    </row>
    <row r="39">
      <c r="A39" s="321" t="inlineStr">
        <is>
          <t xml:space="preserve">Изолента</t>
        </is>
      </c>
      <c r="B39" s="314" t="str">
        <f>'Изолента'!A37&amp;""</f>
        <v>IZT 1918 fleece</v>
      </c>
      <c r="C39" s="315" t="str">
        <f>'Изолента'!B37&amp;""</f>
        <v>Полиэстер нетканый флис; черная; 19ммх18м, толщина 0,28 мм, синт.каучуковый клей</v>
      </c>
      <c r="D39" s="316" t="str">
        <f>IF('Изолента'!H37="+","есть",IF('Изолента'!H37="-","нет",""))</f>
        <v>есть</v>
      </c>
      <c r="E39" s="317"/>
      <c r="F39" s="318">
        <f>IF(N('Изолента'!G37)&lt;=0,"по запросу",CHOOSE($K$3,IF(N('Изолента'!E37)&gt;0,N('Изолента'!E37),N('Изолента'!G37)),IF(N('Изолента'!F37)&gt;0,N('Изолента'!F37),N('Изолента'!G37)),N('Изолента'!G37)))</f>
        <v>330.2</v>
      </c>
      <c r="G39" s="319" t="str">
        <f>IF(I39&lt;=0,"",IF(ISNUMBER(F39),I39*F39,"по запросу"))</f>
        <v/>
      </c>
      <c r="H39" s="320">
        <f>N('Изолента'!I37)</f>
        <v>0</v>
      </c>
      <c r="I39" s="320">
        <f>IF(N(E39)&gt;0,N(E39),H39)</f>
        <v>0</v>
      </c>
      <c r="J39" s="320">
        <f>I39*IF(N('Изолента'!E37)&gt;0,N('Изолента'!E37),N('Изолента'!G37))</f>
        <v>0</v>
      </c>
      <c r="K39" s="320">
        <f>I39*IF(N('Изолента'!F37)&gt;0,N('Изолента'!F37),N('Изолента'!G37))</f>
        <v>0</v>
      </c>
      <c r="L39" s="320">
        <f>N(L38)+(N(I39)&gt;0)</f>
        <v>0</v>
      </c>
    </row>
    <row r="40">
      <c r="A40" s="321" t="inlineStr">
        <is>
          <t xml:space="preserve">Изолента</t>
        </is>
      </c>
      <c r="B40" s="314" t="str">
        <f>'Изолента'!A38&amp;""</f>
        <v>IZT 1925 fleece</v>
      </c>
      <c r="C40" s="315" t="str">
        <f>'Изолента'!B38&amp;""</f>
        <v>Полиэстер нетканый флис; черная; 19ммх25м, толщина 0,35 мм, акрилатный чувствительный к давлению клей</v>
      </c>
      <c r="D40" s="316" t="str">
        <f>IF('Изолента'!H38="+","есть",IF('Изолента'!H38="-","нет",""))</f>
        <v>есть</v>
      </c>
      <c r="E40" s="317"/>
      <c r="F40" s="318">
        <f>IF(N('Изолента'!G38)&lt;=0,"по запросу",CHOOSE($K$3,IF(N('Изолента'!E38)&gt;0,N('Изолента'!E38),N('Изолента'!G38)),IF(N('Изолента'!F38)&gt;0,N('Изолента'!F38),N('Изолента'!G38)),N('Изолента'!G38)))</f>
        <v>464.4</v>
      </c>
      <c r="G40" s="319" t="str">
        <f>IF(I40&lt;=0,"",IF(ISNUMBER(F40),I40*F40,"по запросу"))</f>
        <v/>
      </c>
      <c r="H40" s="320">
        <f>N('Изолента'!I38)</f>
        <v>0</v>
      </c>
      <c r="I40" s="320">
        <f>IF(N(E40)&gt;0,N(E40),H40)</f>
        <v>0</v>
      </c>
      <c r="J40" s="320">
        <f>I40*IF(N('Изолента'!E38)&gt;0,N('Изолента'!E38),N('Изолента'!G38))</f>
        <v>0</v>
      </c>
      <c r="K40" s="320">
        <f>I40*IF(N('Изолента'!F38)&gt;0,N('Изолента'!F38),N('Изолента'!G38))</f>
        <v>0</v>
      </c>
      <c r="L40" s="320">
        <f>N(L39)+(N(I40)&gt;0)</f>
        <v>0</v>
      </c>
    </row>
    <row r="41" ht="20" customHeight="1">
      <c r="A41" s="321" t="inlineStr">
        <is>
          <t xml:space="preserve">Изолента</t>
        </is>
      </c>
      <c r="B41" s="312" t="inlineStr">
        <is>
          <t xml:space="preserve">Профессиональные универсальные клейкие ленты</t>
        </is>
      </c>
      <c r="L41" s="320">
        <f>N(L40)+(N(I41)&gt;0)</f>
        <v>0</v>
      </c>
    </row>
    <row r="42" ht="20" customHeight="1">
      <c r="A42" s="321" t="inlineStr">
        <is>
          <t xml:space="preserve">Изолента</t>
        </is>
      </c>
      <c r="B42" s="312" t="inlineStr">
        <is>
          <t xml:space="preserve">Изолента класса "premium"</t>
        </is>
      </c>
      <c r="L42" s="320">
        <f>N(L41)+(N(I42)&gt;0)</f>
        <v>0</v>
      </c>
    </row>
    <row r="43">
      <c r="A43" s="321" t="inlineStr">
        <is>
          <t xml:space="preserve">Изолента</t>
        </is>
      </c>
      <c r="B43" s="314" t="str">
        <f>'Изолента'!A45&amp;""</f>
        <v>IU1K</v>
      </c>
      <c r="C43" s="315" t="str">
        <f>'Изолента'!B45&amp;""</f>
        <v>ПВХ; черная; 19ммх20м, толщина 0,18 самозатухающая</v>
      </c>
      <c r="D43" s="316" t="str">
        <f>IF('Изолента'!H45="+","есть",IF('Изолента'!H45="-","нет",""))</f>
        <v>нет</v>
      </c>
      <c r="E43" s="317"/>
      <c r="F43" s="318">
        <f>IF(N('Изолента'!G45)&lt;=0,"по запросу",CHOOSE($K$3,IF(N('Изолента'!E45)&gt;0,N('Изолента'!E45),N('Изолента'!G45)),IF(N('Изолента'!F45)&gt;0,N('Изолента'!F45),N('Изолента'!G45)),N('Изолента'!G45)))</f>
        <v>197</v>
      </c>
      <c r="G43" s="319" t="str">
        <f>IF(I43&lt;=0,"",IF(ISNUMBER(F43),I43*F43,"по запросу"))</f>
        <v/>
      </c>
      <c r="H43" s="320">
        <f>N('Изолента'!I45)</f>
        <v>0</v>
      </c>
      <c r="I43" s="320">
        <f>IF(N(E43)&gt;0,N(E43),H43)</f>
        <v>0</v>
      </c>
      <c r="J43" s="320">
        <f>I43*IF(N('Изолента'!E45)&gt;0,N('Изолента'!E45),N('Изолента'!G45))</f>
        <v>0</v>
      </c>
      <c r="K43" s="320">
        <f>I43*IF(N('Изолента'!F45)&gt;0,N('Изолента'!F45),N('Изолента'!G45))</f>
        <v>0</v>
      </c>
      <c r="L43" s="320">
        <f>N(L42)+(N(I43)&gt;0)</f>
        <v>0</v>
      </c>
    </row>
    <row r="44">
      <c r="A44" s="321" t="inlineStr">
        <is>
          <t xml:space="preserve">Изолента</t>
        </is>
      </c>
      <c r="B44" s="314" t="str">
        <f>'Изолента'!A47&amp;""</f>
        <v>IC6P</v>
      </c>
      <c r="C44" s="315" t="str">
        <f>'Изолента'!B47&amp;""</f>
        <v>ПВХ; черная; 19ммх20м, толщина 0,18мм, всепогодная, самозатухающая</v>
      </c>
      <c r="D44" s="316" t="str">
        <f>IF('Изолента'!H47="+","есть",IF('Изолента'!H47="-","нет",""))</f>
        <v>есть</v>
      </c>
      <c r="E44" s="317"/>
      <c r="F44" s="318">
        <f>IF(N('Изолента'!G47)&lt;=0,"по запросу",CHOOSE($K$3,IF(N('Изолента'!E47)&gt;0,N('Изолента'!E47),N('Изолента'!G47)),IF(N('Изолента'!F47)&gt;0,N('Изолента'!F47),N('Изолента'!G47)),N('Изолента'!G47)))</f>
        <v>232.4</v>
      </c>
      <c r="G44" s="319" t="str">
        <f>IF(I44&lt;=0,"",IF(ISNUMBER(F44),I44*F44,"по запросу"))</f>
        <v/>
      </c>
      <c r="H44" s="320">
        <f>N('Изолента'!I47)</f>
        <v>0</v>
      </c>
      <c r="I44" s="320">
        <f>IF(N(E44)&gt;0,N(E44),H44)</f>
        <v>0</v>
      </c>
      <c r="J44" s="320">
        <f>I44*IF(N('Изолента'!E47)&gt;0,N('Изолента'!E47),N('Изолента'!G47))</f>
        <v>0</v>
      </c>
      <c r="K44" s="320">
        <f>I44*IF(N('Изолента'!F47)&gt;0,N('Изолента'!F47),N('Изолента'!G47))</f>
        <v>0</v>
      </c>
      <c r="L44" s="320">
        <f>N(L43)+(N(I44)&gt;0)</f>
        <v>0</v>
      </c>
    </row>
    <row r="45">
      <c r="A45" s="321" t="inlineStr">
        <is>
          <t xml:space="preserve">Изолента</t>
        </is>
      </c>
      <c r="B45" s="314" t="str">
        <f>'Изолента'!A49&amp;""</f>
        <v>ICA8P</v>
      </c>
      <c r="C45" s="315" t="str">
        <f>'Изолента'!B49&amp;""</f>
        <v>ПВХ; черная; 19ммх20м, толщина 0,22мм, всепогодная, самозатухающая, суперпрочная</v>
      </c>
      <c r="D45" s="316" t="str">
        <f>IF('Изолента'!H49="+","есть",IF('Изолента'!H49="-","нет",""))</f>
        <v>нет</v>
      </c>
      <c r="E45" s="317"/>
      <c r="F45" s="318">
        <f>IF(N('Изолента'!G49)&lt;=0,"по запросу",CHOOSE($K$3,IF(N('Изолента'!E49)&gt;0,N('Изолента'!E49),N('Изолента'!G49)),IF(N('Изолента'!F49)&gt;0,N('Изолента'!F49),N('Изолента'!G49)),N('Изолента'!G49)))</f>
        <v>263.8</v>
      </c>
      <c r="G45" s="319" t="str">
        <f>IF(I45&lt;=0,"",IF(ISNUMBER(F45),I45*F45,"по запросу"))</f>
        <v/>
      </c>
      <c r="H45" s="320">
        <f>N('Изолента'!I49)</f>
        <v>0</v>
      </c>
      <c r="I45" s="320">
        <f>IF(N(E45)&gt;0,N(E45),H45)</f>
        <v>0</v>
      </c>
      <c r="J45" s="320">
        <f>I45*IF(N('Изолента'!E49)&gt;0,N('Изолента'!E49),N('Изолента'!G49))</f>
        <v>0</v>
      </c>
      <c r="K45" s="320">
        <f>I45*IF(N('Изолента'!F49)&gt;0,N('Изолента'!F49),N('Изолента'!G49))</f>
        <v>0</v>
      </c>
      <c r="L45" s="320">
        <f>N(L44)+(N(I45)&gt;0)</f>
        <v>0</v>
      </c>
    </row>
    <row r="46">
      <c r="A46" s="321" t="inlineStr">
        <is>
          <t xml:space="preserve">Изолента</t>
        </is>
      </c>
      <c r="B46" s="314" t="str">
        <f>'Изолента'!A50&amp;""</f>
        <v>IZR 1910</v>
      </c>
      <c r="C46" s="315" t="str">
        <f>'Изолента'!B50&amp;""</f>
        <v>Полиизобутилен; черная; 19ммх10м,самовулканизирующаяся, толщина 0,5 мм</v>
      </c>
      <c r="D46" s="316" t="str">
        <f>IF('Изолента'!H50="+","есть",IF('Изолента'!H50="-","нет",""))</f>
        <v>есть</v>
      </c>
      <c r="E46" s="317"/>
      <c r="F46" s="318">
        <f>IF(N('Изолента'!G50)&lt;=0,"по запросу",CHOOSE($K$3,IF(N('Изолента'!E50)&gt;0,N('Изолента'!E50),N('Изолента'!G50)),IF(N('Изолента'!F50)&gt;0,N('Изолента'!F50),N('Изолента'!G50)),N('Изолента'!G50)))</f>
        <v>559.8</v>
      </c>
      <c r="G46" s="319" t="str">
        <f>IF(I46&lt;=0,"",IF(ISNUMBER(F46),I46*F46,"по запросу"))</f>
        <v/>
      </c>
      <c r="H46" s="320">
        <f>N('Изолента'!I50)</f>
        <v>0</v>
      </c>
      <c r="I46" s="320">
        <f>IF(N(E46)&gt;0,N(E46),H46)</f>
        <v>0</v>
      </c>
      <c r="J46" s="320">
        <f>I46*IF(N('Изолента'!E50)&gt;0,N('Изолента'!E50),N('Изолента'!G50))</f>
        <v>0</v>
      </c>
      <c r="K46" s="320">
        <f>I46*IF(N('Изолента'!F50)&gt;0,N('Изолента'!F50),N('Изолента'!G50))</f>
        <v>0</v>
      </c>
      <c r="L46" s="320">
        <f>N(L45)+(N(I46)&gt;0)</f>
        <v>0</v>
      </c>
    </row>
    <row r="47">
      <c r="A47" s="321" t="inlineStr">
        <is>
          <t xml:space="preserve">Изолента</t>
        </is>
      </c>
      <c r="B47" s="314" t="str">
        <f>'Изолента'!A51&amp;""</f>
        <v>IZM 381.5</v>
      </c>
      <c r="C47" s="315" t="str">
        <f>'Изолента'!B51&amp;""</f>
        <v>Виниловая мастика; черная; 38ммх1,5м, самовулканизирующаяся, толщина 2,3 мм</v>
      </c>
      <c r="D47" s="316" t="str">
        <f>IF('Изолента'!H51="+","есть",IF('Изолента'!H51="-","нет",""))</f>
        <v>есть</v>
      </c>
      <c r="E47" s="317"/>
      <c r="F47" s="318">
        <f>IF(N('Изолента'!G51)&lt;=0,"по запросу",CHOOSE($K$3,IF(N('Изолента'!E51)&gt;0,N('Изолента'!E51),N('Изолента'!G51)),IF(N('Изолента'!F51)&gt;0,N('Изолента'!F51),N('Изолента'!G51)),N('Изолента'!G51)))</f>
        <v>511.4</v>
      </c>
      <c r="G47" s="319" t="str">
        <f>IF(I47&lt;=0,"",IF(ISNUMBER(F47),I47*F47,"по запросу"))</f>
        <v/>
      </c>
      <c r="H47" s="320">
        <f>N('Изолента'!I51)</f>
        <v>0</v>
      </c>
      <c r="I47" s="320">
        <f>IF(N(E47)&gt;0,N(E47),H47)</f>
        <v>0</v>
      </c>
      <c r="J47" s="320">
        <f>I47*IF(N('Изолента'!E51)&gt;0,N('Изолента'!E51),N('Изолента'!G51))</f>
        <v>0</v>
      </c>
      <c r="K47" s="320">
        <f>I47*IF(N('Изолента'!F51)&gt;0,N('Изолента'!F51),N('Изолента'!G51))</f>
        <v>0</v>
      </c>
      <c r="L47" s="320">
        <f>N(L46)+(N(I47)&gt;0)</f>
        <v>0</v>
      </c>
    </row>
    <row r="48">
      <c r="A48" s="321" t="inlineStr">
        <is>
          <t xml:space="preserve">Изолента</t>
        </is>
      </c>
      <c r="B48" s="314" t="str">
        <f>'Изолента'!A52&amp;""</f>
        <v>IZRM 513</v>
      </c>
      <c r="C48" s="315" t="str">
        <f>'Изолента'!B52&amp;""</f>
        <v>Резиновая мастика; черная; 51ммх3м, самовулканизирующаяся, толщина 1,65 мм</v>
      </c>
      <c r="D48" s="316" t="str">
        <f>IF('Изолента'!H52="+","есть",IF('Изолента'!H52="-","нет",""))</f>
        <v>есть</v>
      </c>
      <c r="E48" s="317"/>
      <c r="F48" s="318">
        <f>IF(N('Изолента'!G52)&lt;=0,"по запросу",CHOOSE($K$3,IF(N('Изолента'!E52)&gt;0,N('Изолента'!E52),N('Изолента'!G52)),IF(N('Изолента'!F52)&gt;0,N('Изолента'!F52),N('Изолента'!G52)),N('Изолента'!G52)))</f>
        <v>885.3</v>
      </c>
      <c r="G48" s="319" t="str">
        <f>IF(I48&lt;=0,"",IF(ISNUMBER(F48),I48*F48,"по запросу"))</f>
        <v/>
      </c>
      <c r="H48" s="320">
        <f>N('Изолента'!I52)</f>
        <v>0</v>
      </c>
      <c r="I48" s="320">
        <f>IF(N(E48)&gt;0,N(E48),H48)</f>
        <v>0</v>
      </c>
      <c r="J48" s="320">
        <f>I48*IF(N('Изолента'!E52)&gt;0,N('Изолента'!E52),N('Изолента'!G52))</f>
        <v>0</v>
      </c>
      <c r="K48" s="320">
        <f>I48*IF(N('Изолента'!F52)&gt;0,N('Изолента'!F52),N('Изолента'!G52))</f>
        <v>0</v>
      </c>
      <c r="L48" s="320">
        <f>N(L47)+(N(I48)&gt;0)</f>
        <v>0</v>
      </c>
    </row>
    <row r="49">
      <c r="A49" s="321" t="inlineStr">
        <is>
          <t xml:space="preserve">Изолента</t>
        </is>
      </c>
      <c r="B49" s="314" t="str">
        <f>'Изолента'!A53&amp;""</f>
        <v>Tarband 19мм х 25м</v>
      </c>
      <c r="C49" s="315" t="str">
        <f>'Изолента'!B53&amp;""</f>
        <v>Перкаль; черная; 19ммх25м, двусторонняя, толщина 0,35мм, клей на основе смол</v>
      </c>
      <c r="D49" s="316" t="str">
        <f>IF('Изолента'!H53="+","есть",IF('Изолента'!H53="-","нет",""))</f>
        <v>есть</v>
      </c>
      <c r="E49" s="317"/>
      <c r="F49" s="318">
        <f>IF(N('Изолента'!G53)&lt;=0,"по запросу",CHOOSE($K$3,IF(N('Изолента'!E53)&gt;0,N('Изолента'!E53),N('Изолента'!G53)),IF(N('Изолента'!F53)&gt;0,N('Изолента'!F53),N('Изолента'!G53)),N('Изолента'!G53)))</f>
        <v>213.3</v>
      </c>
      <c r="G49" s="319" t="str">
        <f>IF(I49&lt;=0,"",IF(ISNUMBER(F49),I49*F49,"по запросу"))</f>
        <v/>
      </c>
      <c r="H49" s="320">
        <f>N('Изолента'!I53)</f>
        <v>0</v>
      </c>
      <c r="I49" s="320">
        <f>IF(N(E49)&gt;0,N(E49),H49)</f>
        <v>0</v>
      </c>
      <c r="J49" s="320">
        <f>I49*IF(N('Изолента'!E53)&gt;0,N('Изолента'!E53),N('Изолента'!G53))</f>
        <v>0</v>
      </c>
      <c r="K49" s="320">
        <f>I49*IF(N('Изолента'!F53)&gt;0,N('Изолента'!F53),N('Изолента'!G53))</f>
        <v>0</v>
      </c>
      <c r="L49" s="320">
        <f>N(L48)+(N(I49)&gt;0)</f>
        <v>0</v>
      </c>
    </row>
    <row r="50" ht="20" customHeight="1">
      <c r="A50" s="321" t="inlineStr">
        <is>
          <t xml:space="preserve">Изолента</t>
        </is>
      </c>
      <c r="B50" s="312" t="inlineStr">
        <is>
          <t xml:space="preserve">Изолента класса "standart"</t>
        </is>
      </c>
      <c r="L50" s="320">
        <f>N(L49)+(N(I50)&gt;0)</f>
        <v>0</v>
      </c>
    </row>
    <row r="51">
      <c r="A51" s="321" t="inlineStr">
        <is>
          <t xml:space="preserve">Изолента</t>
        </is>
      </c>
      <c r="B51" s="314" t="str">
        <f>'Изолента'!A55&amp;""</f>
        <v>IZ 1510FR</v>
      </c>
      <c r="C51" s="315" t="str">
        <f>'Изолента'!B55&amp;""</f>
        <v>ПВХ; черная; 15ммх10м, толщина 0,12мм; самозатухающая</v>
      </c>
      <c r="D51" s="316" t="str">
        <f>IF('Изолента'!H55="+","есть",IF('Изолента'!H55="-","нет",""))</f>
        <v>есть</v>
      </c>
      <c r="E51" s="317"/>
      <c r="F51" s="318">
        <f>IF(N('Изолента'!G55)&lt;=0,"по запросу",CHOOSE($K$3,IF(N('Изолента'!E55)&gt;0,N('Изолента'!E55),N('Изолента'!G55)),IF(N('Изолента'!F55)&gt;0,N('Изолента'!F55),N('Изолента'!G55)),N('Изолента'!G55)))</f>
        <v>66.8</v>
      </c>
      <c r="G51" s="319" t="str">
        <f>IF(I51&lt;=0,"",IF(ISNUMBER(F51),I51*F51,"по запросу"))</f>
        <v/>
      </c>
      <c r="H51" s="320">
        <f>N('Изолента'!I55)</f>
        <v>0</v>
      </c>
      <c r="I51" s="320">
        <f>IF(N(E51)&gt;0,N(E51),H51)</f>
        <v>0</v>
      </c>
      <c r="J51" s="320">
        <f>I51*IF(N('Изолента'!E55)&gt;0,N('Изолента'!E55),N('Изолента'!G55))</f>
        <v>0</v>
      </c>
      <c r="K51" s="320">
        <f>I51*IF(N('Изолента'!F55)&gt;0,N('Изолента'!F55),N('Изолента'!G55))</f>
        <v>0</v>
      </c>
      <c r="L51" s="320">
        <f>N(L50)+(N(I51)&gt;0)</f>
        <v>0</v>
      </c>
    </row>
    <row r="52">
      <c r="A52" s="321" t="inlineStr">
        <is>
          <t xml:space="preserve">Изолента</t>
        </is>
      </c>
      <c r="B52" s="314" t="str">
        <f>'Изолента'!A58&amp;""</f>
        <v>IZ 1918FR</v>
      </c>
      <c r="C52" s="315" t="str">
        <f>'Изолента'!B58&amp;""</f>
        <v>ПВХ; черная; 19ммх18,3м, толщина 0,12мм; самозатухающая</v>
      </c>
      <c r="D52" s="316" t="str">
        <f>IF('Изолента'!H58="+","есть",IF('Изолента'!H58="-","нет",""))</f>
        <v>есть</v>
      </c>
      <c r="E52" s="317"/>
      <c r="F52" s="318">
        <f>IF(N('Изолента'!G58)&lt;=0,"по запросу",CHOOSE($K$3,IF(N('Изолента'!E58)&gt;0,N('Изолента'!E58),N('Изолента'!G58)),IF(N('Изолента'!F58)&gt;0,N('Изолента'!F58),N('Изолента'!G58)),N('Изолента'!G58)))</f>
        <v>127.5</v>
      </c>
      <c r="G52" s="319" t="str">
        <f>IF(I52&lt;=0,"",IF(ISNUMBER(F52),I52*F52,"по запросу"))</f>
        <v/>
      </c>
      <c r="H52" s="320">
        <f>N('Изолента'!I58)</f>
        <v>0</v>
      </c>
      <c r="I52" s="320">
        <f>IF(N(E52)&gt;0,N(E52),H52)</f>
        <v>0</v>
      </c>
      <c r="J52" s="320">
        <f>I52*IF(N('Изолента'!E58)&gt;0,N('Изолента'!E58),N('Изолента'!G58))</f>
        <v>0</v>
      </c>
      <c r="K52" s="320">
        <f>I52*IF(N('Изолента'!F58)&gt;0,N('Изолента'!F58),N('Изолента'!G58))</f>
        <v>0</v>
      </c>
      <c r="L52" s="320">
        <f>N(L51)+(N(I52)&gt;0)</f>
        <v>0</v>
      </c>
    </row>
    <row r="53">
      <c r="A53" s="321" t="inlineStr">
        <is>
          <t xml:space="preserve">Изолента</t>
        </is>
      </c>
      <c r="B53" s="314" t="str">
        <f>'Изолента'!A60&amp;""</f>
        <v>00545</v>
      </c>
      <c r="C53" s="315" t="str">
        <f>'Изолента'!B60&amp;""</f>
        <v>ПВХ; черная; 19ммх25м, толщина 0,13мм, самозатухающая</v>
      </c>
      <c r="D53" s="316" t="str">
        <f>IF('Изолента'!H60="+","есть",IF('Изолента'!H60="-","нет",""))</f>
        <v>есть</v>
      </c>
      <c r="E53" s="317"/>
      <c r="F53" s="318">
        <f>IF(N('Изолента'!G60)&lt;=0,"по запросу",CHOOSE($K$3,IF(N('Изолента'!E60)&gt;0,N('Изолента'!E60),N('Изолента'!G60)),IF(N('Изолента'!F60)&gt;0,N('Изолента'!F60),N('Изолента'!G60)),N('Изолента'!G60)))</f>
        <v>142.7</v>
      </c>
      <c r="G53" s="319" t="str">
        <f>IF(I53&lt;=0,"",IF(ISNUMBER(F53),I53*F53,"по запросу"))</f>
        <v/>
      </c>
      <c r="H53" s="320">
        <f>N('Изолента'!I60)</f>
        <v>0</v>
      </c>
      <c r="I53" s="320">
        <f>IF(N(E53)&gt;0,N(E53),H53)</f>
        <v>0</v>
      </c>
      <c r="J53" s="320">
        <f>I53*IF(N('Изолента'!E60)&gt;0,N('Изолента'!E60),N('Изолента'!G60))</f>
        <v>0</v>
      </c>
      <c r="K53" s="320">
        <f>I53*IF(N('Изолента'!F60)&gt;0,N('Изолента'!F60),N('Изолента'!G60))</f>
        <v>0</v>
      </c>
      <c r="L53" s="320">
        <f>N(L52)+(N(I53)&gt;0)</f>
        <v>0</v>
      </c>
    </row>
    <row r="54">
      <c r="A54" s="321" t="inlineStr">
        <is>
          <t xml:space="preserve">Изолента</t>
        </is>
      </c>
      <c r="B54" s="314" t="str">
        <f>'Изолента'!A61&amp;""</f>
        <v>Titan 19мм*10м, ПВХ, водостойкая</v>
      </c>
      <c r="C54" s="315" t="str">
        <f>'Изолента'!B61&amp;""</f>
        <v>ПВХ; прозрачная; 19ммх10м, толщина 0,13мм, водостойкая</v>
      </c>
      <c r="D54" s="316" t="str">
        <f>IF('Изолента'!H61="+","есть",IF('Изолента'!H61="-","нет",""))</f>
        <v>есть</v>
      </c>
      <c r="E54" s="317"/>
      <c r="F54" s="318">
        <f>IF(N('Изолента'!G61)&lt;=0,"по запросу",CHOOSE($K$3,IF(N('Изолента'!E61)&gt;0,N('Изолента'!E61),N('Изолента'!G61)),IF(N('Изолента'!F61)&gt;0,N('Изолента'!F61),N('Изолента'!G61)),N('Изолента'!G61)))</f>
        <v>61.7</v>
      </c>
      <c r="G54" s="319" t="str">
        <f>IF(I54&lt;=0,"",IF(ISNUMBER(F54),I54*F54,"по запросу"))</f>
        <v/>
      </c>
      <c r="H54" s="320">
        <f>N('Изолента'!I61)</f>
        <v>0</v>
      </c>
      <c r="I54" s="320">
        <f>IF(N(E54)&gt;0,N(E54),H54)</f>
        <v>0</v>
      </c>
      <c r="J54" s="320">
        <f>I54*IF(N('Изолента'!E61)&gt;0,N('Изолента'!E61),N('Изолента'!G61))</f>
        <v>0</v>
      </c>
      <c r="K54" s="320">
        <f>I54*IF(N('Изолента'!F61)&gt;0,N('Изолента'!F61),N('Изолента'!G61))</f>
        <v>0</v>
      </c>
      <c r="L54" s="320">
        <f>N(L53)+(N(I54)&gt;0)</f>
        <v>0</v>
      </c>
    </row>
    <row r="55">
      <c r="A55" s="321" t="inlineStr">
        <is>
          <t xml:space="preserve">Изолента</t>
        </is>
      </c>
      <c r="B55" s="314" t="str">
        <f>'Изолента'!A62&amp;""</f>
        <v>Titan 19мм*20м, ПВХ, черная</v>
      </c>
      <c r="C55" s="315" t="str">
        <f>'Изолента'!B62&amp;""</f>
        <v>ПВХ; черная; 19ммх20м, толщина 0,13мм, огнеупорная</v>
      </c>
      <c r="D55" s="316" t="str">
        <f>IF('Изолента'!H62="+","есть",IF('Изолента'!H62="-","нет",""))</f>
        <v>есть</v>
      </c>
      <c r="E55" s="317"/>
      <c r="F55" s="318">
        <f>IF(N('Изолента'!G62)&lt;=0,"по запросу",CHOOSE($K$3,IF(N('Изолента'!E62)&gt;0,N('Изолента'!E62),N('Изолента'!G62)),IF(N('Изолента'!F62)&gt;0,N('Изолента'!F62),N('Изолента'!G62)),N('Изолента'!G62)))</f>
        <v>111.1</v>
      </c>
      <c r="G55" s="319" t="str">
        <f>IF(I55&lt;=0,"",IF(ISNUMBER(F55),I55*F55,"по запросу"))</f>
        <v/>
      </c>
      <c r="H55" s="320">
        <f>N('Изолента'!I62)</f>
        <v>0</v>
      </c>
      <c r="I55" s="320">
        <f>IF(N(E55)&gt;0,N(E55),H55)</f>
        <v>0</v>
      </c>
      <c r="J55" s="320">
        <f>I55*IF(N('Изолента'!E62)&gt;0,N('Изолента'!E62),N('Изолента'!G62))</f>
        <v>0</v>
      </c>
      <c r="K55" s="320">
        <f>I55*IF(N('Изолента'!F62)&gt;0,N('Изолента'!F62),N('Изолента'!G62))</f>
        <v>0</v>
      </c>
      <c r="L55" s="320">
        <f>N(L54)+(N(I55)&gt;0)</f>
        <v>0</v>
      </c>
    </row>
    <row r="56">
      <c r="A56" s="321" t="inlineStr">
        <is>
          <t xml:space="preserve">Изолента</t>
        </is>
      </c>
      <c r="B56" s="314" t="str">
        <f>'Изолента'!A64&amp;""</f>
        <v>Titan KINGSIZE 50мм*30м, ПВХ, черная</v>
      </c>
      <c r="C56" s="315" t="str">
        <f>'Изолента'!B64&amp;""</f>
        <v>ПВХ; черная; 50ммх30м, толщина 0,13мм, огнеупорная</v>
      </c>
      <c r="D56" s="316" t="str">
        <f>IF('Изолента'!H64="+","есть",IF('Изолента'!H64="-","нет",""))</f>
        <v>есть</v>
      </c>
      <c r="E56" s="317"/>
      <c r="F56" s="318">
        <f>IF(N('Изолента'!G64)&lt;=0,"по запросу",CHOOSE($K$3,IF(N('Изолента'!E64)&gt;0,N('Изолента'!E64),N('Изолента'!G64)),IF(N('Изолента'!F64)&gt;0,N('Изолента'!F64),N('Изолента'!G64)),N('Изолента'!G64)))</f>
        <v>261.7</v>
      </c>
      <c r="G56" s="319" t="str">
        <f>IF(I56&lt;=0,"",IF(ISNUMBER(F56),I56*F56,"по запросу"))</f>
        <v/>
      </c>
      <c r="H56" s="320">
        <f>N('Изолента'!I64)</f>
        <v>0</v>
      </c>
      <c r="I56" s="320">
        <f>IF(N(E56)&gt;0,N(E56),H56)</f>
        <v>0</v>
      </c>
      <c r="J56" s="320">
        <f>I56*IF(N('Изолента'!E64)&gt;0,N('Изолента'!E64),N('Изолента'!G64))</f>
        <v>0</v>
      </c>
      <c r="K56" s="320">
        <f>I56*IF(N('Изолента'!F64)&gt;0,N('Изолента'!F64),N('Изолента'!G64))</f>
        <v>0</v>
      </c>
      <c r="L56" s="320">
        <f>N(L55)+(N(I56)&gt;0)</f>
        <v>0</v>
      </c>
    </row>
    <row r="57" ht="20" customHeight="1">
      <c r="A57" s="321" t="inlineStr">
        <is>
          <t xml:space="preserve">Изолента</t>
        </is>
      </c>
      <c r="B57" s="312" t="inlineStr">
        <is>
          <t xml:space="preserve">Скотч односторонний упаковочный</t>
        </is>
      </c>
      <c r="L57" s="320">
        <f>N(L56)+(N(I57)&gt;0)</f>
        <v>0</v>
      </c>
    </row>
    <row r="58">
      <c r="A58" s="321" t="inlineStr">
        <is>
          <t xml:space="preserve">Изолента</t>
        </is>
      </c>
      <c r="B58" s="314" t="str">
        <f>'Изолента'!A66&amp;""</f>
        <v>UP4850 (прозрачный)</v>
      </c>
      <c r="C58" s="315" t="str">
        <f>'Изолента'!B66&amp;""</f>
        <v>П/э; прозрачный; скотч упаковочный 48мм х 50м, толщина  0,45мм</v>
      </c>
      <c r="D58" s="316" t="str">
        <f>IF('Изолента'!H66="+","есть",IF('Изолента'!H66="-","нет",""))</f>
        <v>есть</v>
      </c>
      <c r="E58" s="317"/>
      <c r="F58" s="318">
        <f>IF(N('Изолента'!G66)&lt;=0,"по запросу",CHOOSE($K$3,IF(N('Изолента'!E66)&gt;0,N('Изолента'!E66),N('Изолента'!G66)),IF(N('Изолента'!F66)&gt;0,N('Изолента'!F66),N('Изолента'!G66)),N('Изолента'!G66)))</f>
        <v>105.3</v>
      </c>
      <c r="G58" s="319" t="str">
        <f>IF(I58&lt;=0,"",IF(ISNUMBER(F58),I58*F58,"по запросу"))</f>
        <v/>
      </c>
      <c r="H58" s="320">
        <f>N('Изолента'!I66)</f>
        <v>0</v>
      </c>
      <c r="I58" s="320">
        <f>IF(N(E58)&gt;0,N(E58),H58)</f>
        <v>0</v>
      </c>
      <c r="J58" s="320">
        <f>I58*IF(N('Изолента'!E66)&gt;0,N('Изолента'!E66),N('Изолента'!G66))</f>
        <v>0</v>
      </c>
      <c r="K58" s="320">
        <f>I58*IF(N('Изолента'!F66)&gt;0,N('Изолента'!F66),N('Изолента'!G66))</f>
        <v>0</v>
      </c>
      <c r="L58" s="320">
        <f>N(L57)+(N(I58)&gt;0)</f>
        <v>0</v>
      </c>
    </row>
    <row r="59" ht="20" customHeight="1">
      <c r="A59" s="321" t="inlineStr">
        <is>
          <t xml:space="preserve">Изолента</t>
        </is>
      </c>
      <c r="B59" s="312" t="inlineStr">
        <is>
          <t xml:space="preserve">Ленты специального назначения</t>
        </is>
      </c>
      <c r="L59" s="320">
        <f>N(L58)+(N(I59)&gt;0)</f>
        <v>0</v>
      </c>
    </row>
    <row r="60">
      <c r="A60" s="321" t="inlineStr">
        <is>
          <t xml:space="preserve">Изолента</t>
        </is>
      </c>
      <c r="B60" s="314" t="str">
        <f>'Изолента'!A68&amp;""</f>
        <v>ALU 4550</v>
      </c>
      <c r="C60" s="315" t="str">
        <f>'Изолента'!B68&amp;""</f>
        <v>Алюминиевая фольга с клеящим слоем, защищенным силиконизированной бумажной подложкой; 45мм*50м; для защиты  и герметизации швов водосточных труб, воздуховодов</v>
      </c>
      <c r="D60" s="316" t="str">
        <f>IF('Изолента'!H68="+","есть",IF('Изолента'!H68="-","нет",""))</f>
        <v>есть</v>
      </c>
      <c r="E60" s="317"/>
      <c r="F60" s="318">
        <f>IF(N('Изолента'!G68)&lt;=0,"по запросу",CHOOSE($K$3,IF(N('Изолента'!E68)&gt;0,N('Изолента'!E68),N('Изолента'!G68)),IF(N('Изолента'!F68)&gt;0,N('Изолента'!F68),N('Изолента'!G68)),N('Изолента'!G68)))</f>
        <v>523.2</v>
      </c>
      <c r="G60" s="319" t="str">
        <f>IF(I60&lt;=0,"",IF(ISNUMBER(F60),I60*F60,"по запросу"))</f>
        <v/>
      </c>
      <c r="H60" s="320">
        <f>N('Изолента'!I68)</f>
        <v>0</v>
      </c>
      <c r="I60" s="320">
        <f>IF(N(E60)&gt;0,N(E60),H60)</f>
        <v>0</v>
      </c>
      <c r="J60" s="320">
        <f>I60*IF(N('Изолента'!E68)&gt;0,N('Изолента'!E68),N('Изолента'!G68))</f>
        <v>0</v>
      </c>
      <c r="K60" s="320">
        <f>I60*IF(N('Изолента'!F68)&gt;0,N('Изолента'!F68),N('Изолента'!G68))</f>
        <v>0</v>
      </c>
      <c r="L60" s="320">
        <f>N(L59)+(N(I60)&gt;0)</f>
        <v>0</v>
      </c>
    </row>
    <row r="61">
      <c r="A61" s="321" t="inlineStr">
        <is>
          <t xml:space="preserve">Изолента</t>
        </is>
      </c>
      <c r="B61" s="314" t="str">
        <f>'Изолента'!A69&amp;""</f>
        <v>ALU 4840</v>
      </c>
      <c r="C61" s="315" t="str">
        <f>'Изолента'!B69&amp;""</f>
        <v>Алюминиевая фольга с клеящим слоем, защищенным силиконизированной бумажной подложкой; 48мм*40м; 20 мкм; для защиты  и герметизации швов водосточных труб, воздуховодов</v>
      </c>
      <c r="D61" s="316" t="str">
        <f>IF('Изолента'!H69="+","есть",IF('Изолента'!H69="-","нет",""))</f>
        <v>есть</v>
      </c>
      <c r="E61" s="317"/>
      <c r="F61" s="318">
        <f>IF(N('Изолента'!G69)&lt;=0,"по запросу",CHOOSE($K$3,IF(N('Изолента'!E69)&gt;0,N('Изолента'!E69),N('Изолента'!G69)),IF(N('Изолента'!F69)&gt;0,N('Изолента'!F69),N('Изолента'!G69)),N('Изолента'!G69)))</f>
        <v>508</v>
      </c>
      <c r="G61" s="319" t="str">
        <f>IF(I61&lt;=0,"",IF(ISNUMBER(F61),I61*F61,"по запросу"))</f>
        <v/>
      </c>
      <c r="H61" s="320">
        <f>N('Изолента'!I69)</f>
        <v>0</v>
      </c>
      <c r="I61" s="320">
        <f>IF(N(E61)&gt;0,N(E61),H61)</f>
        <v>0</v>
      </c>
      <c r="J61" s="320">
        <f>I61*IF(N('Изолента'!E69)&gt;0,N('Изолента'!E69),N('Изолента'!G69))</f>
        <v>0</v>
      </c>
      <c r="K61" s="320">
        <f>I61*IF(N('Изолента'!F69)&gt;0,N('Изолента'!F69),N('Изолента'!G69))</f>
        <v>0</v>
      </c>
      <c r="L61" s="320">
        <f>N(L60)+(N(I61)&gt;0)</f>
        <v>0</v>
      </c>
    </row>
    <row r="62">
      <c r="A62" s="321" t="inlineStr">
        <is>
          <t xml:space="preserve">Изолента</t>
        </is>
      </c>
      <c r="B62" s="314" t="str">
        <f>'Изолента'!A70&amp;""</f>
        <v>ARM 4833</v>
      </c>
      <c r="C62" s="315" t="str">
        <f>'Изолента'!B70&amp;""</f>
        <v>Ткань ламинированная полиэтиленом; серый; 48ммх33м; толщина 180мк; для временного ремонта, упаковки, обертывания труб</v>
      </c>
      <c r="D62" s="316" t="str">
        <f>IF('Изолента'!H70="+","есть",IF('Изолента'!H70="-","нет",""))</f>
        <v>есть</v>
      </c>
      <c r="E62" s="317"/>
      <c r="F62" s="318">
        <f>IF(N('Изолента'!G70)&lt;=0,"по запросу",CHOOSE($K$3,IF(N('Изолента'!E70)&gt;0,N('Изолента'!E70),N('Изолента'!G70)),IF(N('Изолента'!F70)&gt;0,N('Изолента'!F70),N('Изолента'!G70)),N('Изолента'!G70)))</f>
        <v>316.1</v>
      </c>
      <c r="G62" s="319" t="str">
        <f>IF(I62&lt;=0,"",IF(ISNUMBER(F62),I62*F62,"по запросу"))</f>
        <v/>
      </c>
      <c r="H62" s="320">
        <f>N('Изолента'!I70)</f>
        <v>0</v>
      </c>
      <c r="I62" s="320">
        <f>IF(N(E62)&gt;0,N(E62),H62)</f>
        <v>0</v>
      </c>
      <c r="J62" s="320">
        <f>I62*IF(N('Изолента'!E70)&gt;0,N('Изолента'!E70),N('Изолента'!G70))</f>
        <v>0</v>
      </c>
      <c r="K62" s="320">
        <f>I62*IF(N('Изолента'!F70)&gt;0,N('Изолента'!F70),N('Изолента'!G70))</f>
        <v>0</v>
      </c>
      <c r="L62" s="320">
        <f>N(L61)+(N(I62)&gt;0)</f>
        <v>0</v>
      </c>
    </row>
    <row r="63">
      <c r="A63" s="321" t="inlineStr">
        <is>
          <t xml:space="preserve">Изолента</t>
        </is>
      </c>
      <c r="B63" s="314" t="str">
        <f>'Изолента'!A71&amp;""</f>
        <v>JNOBE 5050</v>
      </c>
      <c r="C63" s="315" t="str">
        <f>'Изолента'!B71&amp;""</f>
        <v>Алюминевая лента на полипропиленовой основе; 50мм*50м; для соединения панелей, герметизации соединительных швов</v>
      </c>
      <c r="D63" s="316" t="str">
        <f>IF('Изолента'!H71="+","есть",IF('Изолента'!H71="-","нет",""))</f>
        <v>есть</v>
      </c>
      <c r="E63" s="317"/>
      <c r="F63" s="318">
        <f>IF(N('Изолента'!G71)&lt;=0,"по запросу",CHOOSE($K$3,IF(N('Изолента'!E71)&gt;0,N('Изолента'!E71),N('Изолента'!G71)),IF(N('Изолента'!F71)&gt;0,N('Изолента'!F71),N('Изолента'!G71)),N('Изолента'!G71)))</f>
        <v>138.2</v>
      </c>
      <c r="G63" s="319" t="str">
        <f>IF(I63&lt;=0,"",IF(ISNUMBER(F63),I63*F63,"по запросу"))</f>
        <v/>
      </c>
      <c r="H63" s="320">
        <f>N('Изолента'!I71)</f>
        <v>0</v>
      </c>
      <c r="I63" s="320">
        <f>IF(N(E63)&gt;0,N(E63),H63)</f>
        <v>0</v>
      </c>
      <c r="J63" s="320">
        <f>I63*IF(N('Изолента'!E71)&gt;0,N('Изолента'!E71),N('Изолента'!G71))</f>
        <v>0</v>
      </c>
      <c r="K63" s="320">
        <f>I63*IF(N('Изолента'!F71)&gt;0,N('Изолента'!F71),N('Изолента'!G71))</f>
        <v>0</v>
      </c>
      <c r="L63" s="320">
        <f>N(L62)+(N(I63)&gt;0)</f>
        <v>0</v>
      </c>
    </row>
    <row r="64">
      <c r="A64" s="321" t="inlineStr">
        <is>
          <t xml:space="preserve">Изолента</t>
        </is>
      </c>
      <c r="B64" s="314" t="str">
        <f>'Изолента'!A72&amp;""</f>
        <v>DT 4830 черн.</v>
      </c>
      <c r="C64" s="315" t="str">
        <f>'Изолента'!B72&amp;""</f>
        <v>ПВХ с нанесенным на одну сторону термоустойчивым резиновым клеем; черная; 48мм*30м, толщина 0,12мм; лента для труб </v>
      </c>
      <c r="D64" s="316" t="str">
        <f>IF('Изолента'!H72="+","есть",IF('Изолента'!H72="-","нет",""))</f>
        <v>есть</v>
      </c>
      <c r="E64" s="317"/>
      <c r="F64" s="318">
        <f>IF(N('Изолента'!G72)&lt;=0,"по запросу",CHOOSE($K$3,IF(N('Изолента'!E72)&gt;0,N('Изолента'!E72),N('Изолента'!G72)),IF(N('Изолента'!F72)&gt;0,N('Изолента'!F72),N('Изолента'!G72)),N('Изолента'!G72)))</f>
        <v>246.1</v>
      </c>
      <c r="G64" s="319" t="str">
        <f>IF(I64&lt;=0,"",IF(ISNUMBER(F64),I64*F64,"по запросу"))</f>
        <v/>
      </c>
      <c r="H64" s="320">
        <f>N('Изолента'!I72)</f>
        <v>0</v>
      </c>
      <c r="I64" s="320">
        <f>IF(N(E64)&gt;0,N(E64),H64)</f>
        <v>0</v>
      </c>
      <c r="J64" s="320">
        <f>I64*IF(N('Изолента'!E72)&gt;0,N('Изолента'!E72),N('Изолента'!G72))</f>
        <v>0</v>
      </c>
      <c r="K64" s="320">
        <f>I64*IF(N('Изолента'!F72)&gt;0,N('Изолента'!F72),N('Изолента'!G72))</f>
        <v>0</v>
      </c>
      <c r="L64" s="320">
        <f>N(L63)+(N(I64)&gt;0)</f>
        <v>0</v>
      </c>
    </row>
    <row r="65">
      <c r="A65" s="321" t="inlineStr">
        <is>
          <t xml:space="preserve">Изолента</t>
        </is>
      </c>
      <c r="B65" s="314" t="str">
        <f>'Изолента'!A73&amp;""</f>
        <v>DT 4830 серая</v>
      </c>
      <c r="C65" s="315" t="str">
        <f>'Изолента'!B73&amp;""</f>
        <v>ПВХ с нанесенным на одну сторону термоустойчивым резиновым клеем; серая; 48мм*30м, толщина 0,12мм; лента для труб </v>
      </c>
      <c r="D65" s="316" t="str">
        <f>IF('Изолента'!H73="+","есть",IF('Изолента'!H73="-","нет",""))</f>
        <v>есть</v>
      </c>
      <c r="E65" s="317"/>
      <c r="F65" s="318">
        <f>IF(N('Изолента'!G73)&lt;=0,"по запросу",CHOOSE($K$3,IF(N('Изолента'!E73)&gt;0,N('Изолента'!E73),N('Изолента'!G73)),IF(N('Изолента'!F73)&gt;0,N('Изолента'!F73),N('Изолента'!G73)),N('Изолента'!G73)))</f>
        <v>246.1</v>
      </c>
      <c r="G65" s="319" t="str">
        <f>IF(I65&lt;=0,"",IF(ISNUMBER(F65),I65*F65,"по запросу"))</f>
        <v/>
      </c>
      <c r="H65" s="320">
        <f>N('Изолента'!I73)</f>
        <v>0</v>
      </c>
      <c r="I65" s="320">
        <f>IF(N(E65)&gt;0,N(E65),H65)</f>
        <v>0</v>
      </c>
      <c r="J65" s="320">
        <f>I65*IF(N('Изолента'!E73)&gt;0,N('Изолента'!E73),N('Изолента'!G73))</f>
        <v>0</v>
      </c>
      <c r="K65" s="320">
        <f>I65*IF(N('Изолента'!F73)&gt;0,N('Изолента'!F73),N('Изолента'!G73))</f>
        <v>0</v>
      </c>
      <c r="L65" s="320">
        <f>N(L64)+(N(I65)&gt;0)</f>
        <v>0</v>
      </c>
    </row>
    <row r="66">
      <c r="A66" s="321" t="inlineStr">
        <is>
          <t xml:space="preserve">Изолента</t>
        </is>
      </c>
      <c r="B66" s="314" t="str">
        <f>'Изолента'!A74&amp;""</f>
        <v>WT 5033 black/yellow</v>
      </c>
      <c r="C66" s="315" t="str">
        <f>'Изолента'!B74&amp;""</f>
        <v>ПВХ; черн./желт.; 50мм*33м, толщина 0,15мм; предупредительная  лента  с клейким слоем, для ограждения и маркирования опасных зон</v>
      </c>
      <c r="D66" s="316" t="str">
        <f>IF('Изолента'!H74="+","есть",IF('Изолента'!H74="-","нет",""))</f>
        <v>есть</v>
      </c>
      <c r="E66" s="317"/>
      <c r="F66" s="318">
        <f>IF(N('Изолента'!G74)&lt;=0,"по запросу",CHOOSE($K$3,IF(N('Изолента'!E74)&gt;0,N('Изолента'!E74),N('Изолента'!G74)),IF(N('Изолента'!F74)&gt;0,N('Изолента'!F74),N('Изолента'!G74)),N('Изолента'!G74)))</f>
        <v>322.4</v>
      </c>
      <c r="G66" s="319" t="str">
        <f>IF(I66&lt;=0,"",IF(ISNUMBER(F66),I66*F66,"по запросу"))</f>
        <v/>
      </c>
      <c r="H66" s="320">
        <f>N('Изолента'!I74)</f>
        <v>0</v>
      </c>
      <c r="I66" s="320">
        <f>IF(N(E66)&gt;0,N(E66),H66)</f>
        <v>0</v>
      </c>
      <c r="J66" s="320">
        <f>I66*IF(N('Изолента'!E74)&gt;0,N('Изолента'!E74),N('Изолента'!G74))</f>
        <v>0</v>
      </c>
      <c r="K66" s="320">
        <f>I66*IF(N('Изолента'!F74)&gt;0,N('Изолента'!F74),N('Изолента'!G74))</f>
        <v>0</v>
      </c>
      <c r="L66" s="320">
        <f>N(L65)+(N(I66)&gt;0)</f>
        <v>0</v>
      </c>
    </row>
    <row r="67">
      <c r="A67" s="321" t="inlineStr">
        <is>
          <t xml:space="preserve">Изолента</t>
        </is>
      </c>
      <c r="B67" s="314" t="str">
        <f>'Изолента'!A75&amp;""</f>
        <v>WT 5033 red/white</v>
      </c>
      <c r="C67" s="315" t="str">
        <f>'Изолента'!B75&amp;""</f>
        <v>ПВХ; красн./бел.; 50мм*33м, толщина 0,15мм; предупредительная  лента  с клейким слоем, для ограждения и маркирования опасных зон</v>
      </c>
      <c r="D67" s="316" t="str">
        <f>IF('Изолента'!H75="+","есть",IF('Изолента'!H75="-","нет",""))</f>
        <v>есть</v>
      </c>
      <c r="E67" s="317"/>
      <c r="F67" s="318">
        <f>IF(N('Изолента'!G75)&lt;=0,"по запросу",CHOOSE($K$3,IF(N('Изолента'!E75)&gt;0,N('Изолента'!E75),N('Изолента'!G75)),IF(N('Изолента'!F75)&gt;0,N('Изолента'!F75),N('Изолента'!G75)),N('Изолента'!G75)))</f>
        <v>322.4</v>
      </c>
      <c r="G67" s="319" t="str">
        <f>IF(I67&lt;=0,"",IF(ISNUMBER(F67),I67*F67,"по запросу"))</f>
        <v/>
      </c>
      <c r="H67" s="320">
        <f>N('Изолента'!I75)</f>
        <v>0</v>
      </c>
      <c r="I67" s="320">
        <f>IF(N(E67)&gt;0,N(E67),H67)</f>
        <v>0</v>
      </c>
      <c r="J67" s="320">
        <f>I67*IF(N('Изолента'!E75)&gt;0,N('Изолента'!E75),N('Изолента'!G75))</f>
        <v>0</v>
      </c>
      <c r="K67" s="320">
        <f>I67*IF(N('Изолента'!F75)&gt;0,N('Изолента'!F75),N('Изолента'!G75))</f>
        <v>0</v>
      </c>
      <c r="L67" s="320">
        <f>N(L66)+(N(I67)&gt;0)</f>
        <v>0</v>
      </c>
    </row>
    <row r="68">
      <c r="A68" s="321" t="inlineStr">
        <is>
          <t xml:space="preserve">Изолента</t>
        </is>
      </c>
      <c r="B68" s="314" t="str">
        <f>'Изолента'!A76&amp;""</f>
        <v>WTN 50200 red/white</v>
      </c>
      <c r="C68" s="315" t="str">
        <f>'Изолента'!B76&amp;""</f>
        <v>П/э без клеевого слоя; красн./бел.; 50ммх200м; толщина 50мк,  для ограждения и маркирования опасных зон</v>
      </c>
      <c r="D68" s="316" t="str">
        <f>IF('Изолента'!H76="+","есть",IF('Изолента'!H76="-","нет",""))</f>
        <v>есть</v>
      </c>
      <c r="E68" s="317"/>
      <c r="F68" s="318">
        <f>IF(N('Изолента'!G76)&lt;=0,"по запросу",CHOOSE($K$3,IF(N('Изолента'!E76)&gt;0,N('Изолента'!E76),N('Изолента'!G76)),IF(N('Изолента'!F76)&gt;0,N('Изолента'!F76),N('Изолента'!G76)),N('Изолента'!G76)))</f>
        <v>172.9</v>
      </c>
      <c r="G68" s="319" t="str">
        <f>IF(I68&lt;=0,"",IF(ISNUMBER(F68),I68*F68,"по запросу"))</f>
        <v/>
      </c>
      <c r="H68" s="320">
        <f>N('Изолента'!I76)</f>
        <v>0</v>
      </c>
      <c r="I68" s="320">
        <f>IF(N(E68)&gt;0,N(E68),H68)</f>
        <v>0</v>
      </c>
      <c r="J68" s="320">
        <f>I68*IF(N('Изолента'!E76)&gt;0,N('Изолента'!E76),N('Изолента'!G76))</f>
        <v>0</v>
      </c>
      <c r="K68" s="320">
        <f>I68*IF(N('Изолента'!F76)&gt;0,N('Изолента'!F76),N('Изолента'!G76))</f>
        <v>0</v>
      </c>
      <c r="L68" s="320">
        <f>N(L67)+(N(I68)&gt;0)</f>
        <v>0</v>
      </c>
    </row>
    <row r="69">
      <c r="A69" s="321" t="inlineStr">
        <is>
          <t xml:space="preserve">Изолента</t>
        </is>
      </c>
      <c r="B69" s="314" t="str">
        <f>'Изолента'!A77&amp;""</f>
        <v>AST 5050 clear</v>
      </c>
      <c r="C69" s="315" t="str">
        <f>'Изолента'!B77&amp;""</f>
        <v>противоскользящая лента 50мм*50м, прозрачная</v>
      </c>
      <c r="D69" s="316" t="str">
        <f>IF('Изолента'!H77="+","есть",IF('Изолента'!H77="-","нет",""))</f>
        <v>есть</v>
      </c>
      <c r="E69" s="317"/>
      <c r="F69" s="318">
        <f>IF(N('Изолента'!G77)&lt;=0,"по запросу",CHOOSE($K$3,IF(N('Изолента'!E77)&gt;0,N('Изолента'!E77),N('Изолента'!G77)),IF(N('Изолента'!F77)&gt;0,N('Изолента'!F77),N('Изолента'!G77)),N('Изолента'!G77)))</f>
        <v>3005.1</v>
      </c>
      <c r="G69" s="319" t="str">
        <f>IF(I69&lt;=0,"",IF(ISNUMBER(F69),I69*F69,"по запросу"))</f>
        <v/>
      </c>
      <c r="H69" s="320">
        <f>N('Изолента'!I77)</f>
        <v>0</v>
      </c>
      <c r="I69" s="320">
        <f>IF(N(E69)&gt;0,N(E69),H69)</f>
        <v>0</v>
      </c>
      <c r="J69" s="320">
        <f>I69*IF(N('Изолента'!E77)&gt;0,N('Изолента'!E77),N('Изолента'!G77))</f>
        <v>0</v>
      </c>
      <c r="K69" s="320">
        <f>I69*IF(N('Изолента'!F77)&gt;0,N('Изолента'!F77),N('Изолента'!G77))</f>
        <v>0</v>
      </c>
      <c r="L69" s="320">
        <f>N(L68)+(N(I69)&gt;0)</f>
        <v>0</v>
      </c>
    </row>
    <row r="70">
      <c r="A70" s="321" t="inlineStr">
        <is>
          <t xml:space="preserve">Изолента</t>
        </is>
      </c>
      <c r="B70" s="314" t="str">
        <f>'Изолента'!A78&amp;""</f>
        <v>AST 5050 lumin</v>
      </c>
      <c r="C70" s="315" t="str">
        <f>'Изолента'!B78&amp;""</f>
        <v>противоскользящая лента 50мм*50м, люминесцентная</v>
      </c>
      <c r="D70" s="316" t="str">
        <f>IF('Изолента'!H78="+","есть",IF('Изолента'!H78="-","нет",""))</f>
        <v>есть</v>
      </c>
      <c r="E70" s="317"/>
      <c r="F70" s="318">
        <f>IF(N('Изолента'!G78)&lt;=0,"по запросу",CHOOSE($K$3,IF(N('Изолента'!E78)&gt;0,N('Изолента'!E78),N('Изолента'!G78)),IF(N('Изолента'!F78)&gt;0,N('Изолента'!F78),N('Изолента'!G78)),N('Изолента'!G78)))</f>
        <v>6492.4</v>
      </c>
      <c r="G70" s="319" t="str">
        <f>IF(I70&lt;=0,"",IF(ISNUMBER(F70),I70*F70,"по запросу"))</f>
        <v/>
      </c>
      <c r="H70" s="320">
        <f>N('Изолента'!I78)</f>
        <v>0</v>
      </c>
      <c r="I70" s="320">
        <f>IF(N(E70)&gt;0,N(E70),H70)</f>
        <v>0</v>
      </c>
      <c r="J70" s="320">
        <f>I70*IF(N('Изолента'!E78)&gt;0,N('Изолента'!E78),N('Изолента'!G78))</f>
        <v>0</v>
      </c>
      <c r="K70" s="320">
        <f>I70*IF(N('Изолента'!F78)&gt;0,N('Изолента'!F78),N('Изолента'!G78))</f>
        <v>0</v>
      </c>
      <c r="L70" s="320">
        <f>N(L69)+(N(I70)&gt;0)</f>
        <v>0</v>
      </c>
    </row>
    <row r="71">
      <c r="A71" s="321" t="inlineStr">
        <is>
          <t xml:space="preserve">Изолента</t>
        </is>
      </c>
      <c r="B71" s="314" t="str">
        <f>'Изолента'!A79&amp;""</f>
        <v>AST 5050w grey</v>
      </c>
      <c r="C71" s="315" t="str">
        <f>'Изолента'!B79&amp;""</f>
        <v>противоскользящая лента 50мм*50м, для влажных мест, серая</v>
      </c>
      <c r="D71" s="316" t="str">
        <f>IF('Изолента'!H79="+","есть",IF('Изолента'!H79="-","нет",""))</f>
        <v>есть</v>
      </c>
      <c r="E71" s="317"/>
      <c r="F71" s="318">
        <f>IF(N('Изолента'!G79)&lt;=0,"по запросу",CHOOSE($K$3,IF(N('Изолента'!E79)&gt;0,N('Изолента'!E79),N('Изолента'!G79)),IF(N('Изолента'!F79)&gt;0,N('Изолента'!F79),N('Изолента'!G79)),N('Изолента'!G79)))</f>
        <v>7135.1</v>
      </c>
      <c r="G71" s="319" t="str">
        <f>IF(I71&lt;=0,"",IF(ISNUMBER(F71),I71*F71,"по запросу"))</f>
        <v/>
      </c>
      <c r="H71" s="320">
        <f>N('Изолента'!I79)</f>
        <v>0</v>
      </c>
      <c r="I71" s="320">
        <f>IF(N(E71)&gt;0,N(E71),H71)</f>
        <v>0</v>
      </c>
      <c r="J71" s="320">
        <f>I71*IF(N('Изолента'!E79)&gt;0,N('Изолента'!E79),N('Изолента'!G79))</f>
        <v>0</v>
      </c>
      <c r="K71" s="320">
        <f>I71*IF(N('Изолента'!F79)&gt;0,N('Изолента'!F79),N('Изолента'!G79))</f>
        <v>0</v>
      </c>
      <c r="L71" s="320">
        <f>N(L70)+(N(I71)&gt;0)</f>
        <v>0</v>
      </c>
    </row>
    <row r="72" ht="28" customHeight="1">
      <c r="A72" s="310" t="inlineStr">
        <is>
          <t xml:space="preserve">Изолента цвета</t>
        </is>
      </c>
      <c r="B72" s="310"/>
      <c r="C72" s="310"/>
      <c r="D72" s="310"/>
      <c r="E72" s="310"/>
      <c r="F72" s="310"/>
      <c r="G72" s="310"/>
      <c r="L72" s="320">
        <f>N(L71)+(N(I72)&gt;0)</f>
        <v>0</v>
      </c>
    </row>
    <row r="73" ht="24" customHeight="1">
      <c r="A73" s="321" t="inlineStr">
        <is>
          <t xml:space="preserve">Изолента цвета</t>
        </is>
      </c>
      <c r="B73" s="311" t="inlineStr">
        <is>
          <t xml:space="preserve">КЛЕЙКИЕ ЛЕНТЫ</t>
        </is>
      </c>
      <c r="L73" s="320">
        <f>N(L72)+(N(I73)&gt;0)</f>
        <v>0</v>
      </c>
    </row>
    <row r="74" ht="20" customHeight="1">
      <c r="A74" s="321" t="inlineStr">
        <is>
          <t xml:space="preserve">Изолента цвета</t>
        </is>
      </c>
      <c r="B74" s="312" t="inlineStr">
        <is>
          <t xml:space="preserve">Автомобильные клейкие ленты широкого применения</t>
        </is>
      </c>
      <c r="L74" s="320">
        <f>N(L73)+(N(I74)&gt;0)</f>
        <v>0</v>
      </c>
    </row>
    <row r="75" ht="20" customHeight="1">
      <c r="A75" s="321" t="inlineStr">
        <is>
          <t xml:space="preserve">Изолента цвета</t>
        </is>
      </c>
      <c r="B75" s="312" t="inlineStr">
        <is>
          <t xml:space="preserve">Изолента класса "standart"</t>
        </is>
      </c>
      <c r="L75" s="320">
        <f>N(L74)+(N(I75)&gt;0)</f>
        <v>0</v>
      </c>
    </row>
    <row r="76">
      <c r="A76" s="321" t="inlineStr">
        <is>
          <t xml:space="preserve">Изолента цвета</t>
        </is>
      </c>
      <c r="B76" s="314" t="str">
        <f>'Изолента цвета'!A10&amp;""</f>
        <v>IZT 1919 fabric DUO black &amp; orange</v>
      </c>
      <c r="C76" s="315" t="str">
        <f>'Изолента цвета'!B10&amp;""</f>
        <v>Полиэстер тканый; набор: черная + оранжевая; 19ммх19м, толщина 0,18 мм; акрилатный чувствительный к давлению клей</v>
      </c>
      <c r="D76" s="316" t="str">
        <f>IF('Изолента цвета'!H10="+","есть",IF('Изолента цвета'!H10="-","нет",""))</f>
        <v>есть</v>
      </c>
      <c r="E76" s="317"/>
      <c r="F76" s="318">
        <f>IF(N('Изолента цвета'!G10)&lt;=0,"по запросу",CHOOSE($K$3,IF(N('Изолента цвета'!E10)&gt;0,N('Изолента цвета'!E10),N('Изолента цвета'!G10)),IF(N('Изолента цвета'!F10)&gt;0,N('Изолента цвета'!F10),N('Изолента цвета'!G10)),N('Изолента цвета'!G10)))</f>
        <v>516</v>
      </c>
      <c r="G76" s="319" t="str">
        <f>IF(I76&lt;=0,"",IF(ISNUMBER(F76),I76*F76,"по запросу"))</f>
        <v/>
      </c>
      <c r="H76" s="320">
        <f>N('Изолента цвета'!I10)</f>
        <v>0</v>
      </c>
      <c r="I76" s="320">
        <f>IF(N(E76)&gt;0,N(E76),H76)</f>
        <v>0</v>
      </c>
      <c r="J76" s="320">
        <f>I76*IF(N('Изолента цвета'!E10)&gt;0,N('Изолента цвета'!E10),N('Изолента цвета'!G10))</f>
        <v>0</v>
      </c>
      <c r="K76" s="320">
        <f>I76*IF(N('Изолента цвета'!F10)&gt;0,N('Изолента цвета'!F10),N('Изолента цвета'!G10))</f>
        <v>0</v>
      </c>
      <c r="L76" s="320">
        <f>N(L75)+(N(I76)&gt;0)</f>
        <v>0</v>
      </c>
    </row>
    <row r="77" ht="20" customHeight="1">
      <c r="A77" s="321" t="inlineStr">
        <is>
          <t xml:space="preserve">Изолента цвета</t>
        </is>
      </c>
      <c r="B77" s="312" t="inlineStr">
        <is>
          <t xml:space="preserve">Профессиональные универсальные клейкие ленты</t>
        </is>
      </c>
      <c r="L77" s="320">
        <f>N(L76)+(N(I77)&gt;0)</f>
        <v>0</v>
      </c>
    </row>
    <row r="78" ht="20" customHeight="1">
      <c r="A78" s="321" t="inlineStr">
        <is>
          <t xml:space="preserve">Изолента цвета</t>
        </is>
      </c>
      <c r="B78" s="312" t="inlineStr">
        <is>
          <t xml:space="preserve">Изолента класса "premium"</t>
        </is>
      </c>
      <c r="L78" s="320">
        <f>N(L77)+(N(I78)&gt;0)</f>
        <v>0</v>
      </c>
    </row>
    <row r="79">
      <c r="A79" s="321" t="inlineStr">
        <is>
          <t xml:space="preserve">Изолента цвета</t>
        </is>
      </c>
      <c r="B79" s="314" t="str">
        <f>'Изолента цвета'!A13&amp;""</f>
        <v>IU1K red</v>
      </c>
      <c r="C79" s="315" t="str">
        <f>'Изолента цвета'!B13&amp;""</f>
        <v>ПВХ; красная; 19ммх20м, толщина 0,18 самозатухающая</v>
      </c>
      <c r="D79" s="316" t="str">
        <f>IF('Изолента цвета'!H13="+","есть",IF('Изолента цвета'!H13="-","нет",""))</f>
        <v>есть</v>
      </c>
      <c r="E79" s="317"/>
      <c r="F79" s="318">
        <f>IF(N('Изолента цвета'!G13)&lt;=0,"по запросу",CHOOSE($K$3,IF(N('Изолента цвета'!E13)&gt;0,N('Изолента цвета'!E13),N('Изолента цвета'!G13)),IF(N('Изолента цвета'!F13)&gt;0,N('Изолента цвета'!F13),N('Изолента цвета'!G13)),N('Изолента цвета'!G13)))</f>
        <v>197</v>
      </c>
      <c r="G79" s="319" t="str">
        <f>IF(I79&lt;=0,"",IF(ISNUMBER(F79),I79*F79,"по запросу"))</f>
        <v/>
      </c>
      <c r="H79" s="320">
        <f>N('Изолента цвета'!I13)</f>
        <v>0</v>
      </c>
      <c r="I79" s="320">
        <f>IF(N(E79)&gt;0,N(E79),H79)</f>
        <v>0</v>
      </c>
      <c r="J79" s="320">
        <f>I79*IF(N('Изолента цвета'!E13)&gt;0,N('Изолента цвета'!E13),N('Изолента цвета'!G13))</f>
        <v>0</v>
      </c>
      <c r="K79" s="320">
        <f>I79*IF(N('Изолента цвета'!F13)&gt;0,N('Изолента цвета'!F13),N('Изолента цвета'!G13))</f>
        <v>0</v>
      </c>
      <c r="L79" s="320">
        <f>N(L78)+(N(I79)&gt;0)</f>
        <v>0</v>
      </c>
    </row>
    <row r="80">
      <c r="A80" s="321" t="inlineStr">
        <is>
          <t xml:space="preserve">Изолента цвета</t>
        </is>
      </c>
      <c r="B80" s="314" t="str">
        <f>'Изолента цвета'!A14&amp;""</f>
        <v>IU1K orange</v>
      </c>
      <c r="C80" s="315" t="str">
        <f>'Изолента цвета'!B14&amp;""</f>
        <v>ПВХ; оранжевая; 19ммх20м, толщина 0,18 самозатухающая</v>
      </c>
      <c r="D80" s="316" t="str">
        <f>IF('Изолента цвета'!H14="+","есть",IF('Изолента цвета'!H14="-","нет",""))</f>
        <v>есть</v>
      </c>
      <c r="E80" s="317"/>
      <c r="F80" s="318">
        <f>IF(N('Изолента цвета'!G14)&lt;=0,"по запросу",CHOOSE($K$3,IF(N('Изолента цвета'!E14)&gt;0,N('Изолента цвета'!E14),N('Изолента цвета'!G14)),IF(N('Изолента цвета'!F14)&gt;0,N('Изолента цвета'!F14),N('Изолента цвета'!G14)),N('Изолента цвета'!G14)))</f>
        <v>197</v>
      </c>
      <c r="G80" s="319" t="str">
        <f>IF(I80&lt;=0,"",IF(ISNUMBER(F80),I80*F80,"по запросу"))</f>
        <v/>
      </c>
      <c r="H80" s="320">
        <f>N('Изолента цвета'!I14)</f>
        <v>0</v>
      </c>
      <c r="I80" s="320">
        <f>IF(N(E80)&gt;0,N(E80),H80)</f>
        <v>0</v>
      </c>
      <c r="J80" s="320">
        <f>I80*IF(N('Изолента цвета'!E14)&gt;0,N('Изолента цвета'!E14),N('Изолента цвета'!G14))</f>
        <v>0</v>
      </c>
      <c r="K80" s="320">
        <f>I80*IF(N('Изолента цвета'!F14)&gt;0,N('Изолента цвета'!F14),N('Изолента цвета'!G14))</f>
        <v>0</v>
      </c>
      <c r="L80" s="320">
        <f>N(L79)+(N(I80)&gt;0)</f>
        <v>0</v>
      </c>
    </row>
    <row r="81">
      <c r="A81" s="321" t="inlineStr">
        <is>
          <t xml:space="preserve">Изолента цвета</t>
        </is>
      </c>
      <c r="B81" s="314" t="str">
        <f>'Изолента цвета'!A15&amp;""</f>
        <v>IU1K yellow</v>
      </c>
      <c r="C81" s="315" t="str">
        <f>'Изолента цвета'!B15&amp;""</f>
        <v>ПВХ; желтая; 19ммх20м, толщина 0,18 самозатухающая</v>
      </c>
      <c r="D81" s="316" t="str">
        <f>IF('Изолента цвета'!H15="+","есть",IF('Изолента цвета'!H15="-","нет",""))</f>
        <v>есть</v>
      </c>
      <c r="E81" s="317"/>
      <c r="F81" s="318">
        <f>IF(N('Изолента цвета'!G15)&lt;=0,"по запросу",CHOOSE($K$3,IF(N('Изолента цвета'!E15)&gt;0,N('Изолента цвета'!E15),N('Изолента цвета'!G15)),IF(N('Изолента цвета'!F15)&gt;0,N('Изолента цвета'!F15),N('Изолента цвета'!G15)),N('Изолента цвета'!G15)))</f>
        <v>197</v>
      </c>
      <c r="G81" s="319" t="str">
        <f>IF(I81&lt;=0,"",IF(ISNUMBER(F81),I81*F81,"по запросу"))</f>
        <v/>
      </c>
      <c r="H81" s="320">
        <f>N('Изолента цвета'!I15)</f>
        <v>0</v>
      </c>
      <c r="I81" s="320">
        <f>IF(N(E81)&gt;0,N(E81),H81)</f>
        <v>0</v>
      </c>
      <c r="J81" s="320">
        <f>I81*IF(N('Изолента цвета'!E15)&gt;0,N('Изолента цвета'!E15),N('Изолента цвета'!G15))</f>
        <v>0</v>
      </c>
      <c r="K81" s="320">
        <f>I81*IF(N('Изолента цвета'!F15)&gt;0,N('Изолента цвета'!F15),N('Изолента цвета'!G15))</f>
        <v>0</v>
      </c>
      <c r="L81" s="320">
        <f>N(L80)+(N(I81)&gt;0)</f>
        <v>0</v>
      </c>
    </row>
    <row r="82">
      <c r="A82" s="321" t="inlineStr">
        <is>
          <t xml:space="preserve">Изолента цвета</t>
        </is>
      </c>
      <c r="B82" s="314" t="str">
        <f>'Изолента цвета'!A16&amp;""</f>
        <v>IU1K green</v>
      </c>
      <c r="C82" s="315" t="str">
        <f>'Изолента цвета'!B16&amp;""</f>
        <v>ПВХ; зеленая; 19ммх20м, толщина 0,18 самозатухающая</v>
      </c>
      <c r="D82" s="316" t="str">
        <f>IF('Изолента цвета'!H16="+","есть",IF('Изолента цвета'!H16="-","нет",""))</f>
        <v>есть</v>
      </c>
      <c r="E82" s="317"/>
      <c r="F82" s="318">
        <f>IF(N('Изолента цвета'!G16)&lt;=0,"по запросу",CHOOSE($K$3,IF(N('Изолента цвета'!E16)&gt;0,N('Изолента цвета'!E16),N('Изолента цвета'!G16)),IF(N('Изолента цвета'!F16)&gt;0,N('Изолента цвета'!F16),N('Изолента цвета'!G16)),N('Изолента цвета'!G16)))</f>
        <v>197</v>
      </c>
      <c r="G82" s="319" t="str">
        <f>IF(I82&lt;=0,"",IF(ISNUMBER(F82),I82*F82,"по запросу"))</f>
        <v/>
      </c>
      <c r="H82" s="320">
        <f>N('Изолента цвета'!I16)</f>
        <v>0</v>
      </c>
      <c r="I82" s="320">
        <f>IF(N(E82)&gt;0,N(E82),H82)</f>
        <v>0</v>
      </c>
      <c r="J82" s="320">
        <f>I82*IF(N('Изолента цвета'!E16)&gt;0,N('Изолента цвета'!E16),N('Изолента цвета'!G16))</f>
        <v>0</v>
      </c>
      <c r="K82" s="320">
        <f>I82*IF(N('Изолента цвета'!F16)&gt;0,N('Изолента цвета'!F16),N('Изолента цвета'!G16))</f>
        <v>0</v>
      </c>
      <c r="L82" s="320">
        <f>N(L81)+(N(I82)&gt;0)</f>
        <v>0</v>
      </c>
    </row>
    <row r="83">
      <c r="A83" s="321" t="inlineStr">
        <is>
          <t xml:space="preserve">Изолента цвета</t>
        </is>
      </c>
      <c r="B83" s="314" t="str">
        <f>'Изолента цвета'!A17&amp;""</f>
        <v>IU1K blue</v>
      </c>
      <c r="C83" s="315" t="str">
        <f>'Изолента цвета'!B17&amp;""</f>
        <v>ПВХ; синяя; 19ммх20м, толщина 0,18 самозатухающая</v>
      </c>
      <c r="D83" s="316" t="str">
        <f>IF('Изолента цвета'!H17="+","есть",IF('Изолента цвета'!H17="-","нет",""))</f>
        <v>есть</v>
      </c>
      <c r="E83" s="317"/>
      <c r="F83" s="318">
        <f>IF(N('Изолента цвета'!G17)&lt;=0,"по запросу",CHOOSE($K$3,IF(N('Изолента цвета'!E17)&gt;0,N('Изолента цвета'!E17),N('Изолента цвета'!G17)),IF(N('Изолента цвета'!F17)&gt;0,N('Изолента цвета'!F17),N('Изолента цвета'!G17)),N('Изолента цвета'!G17)))</f>
        <v>197</v>
      </c>
      <c r="G83" s="319" t="str">
        <f>IF(I83&lt;=0,"",IF(ISNUMBER(F83),I83*F83,"по запросу"))</f>
        <v/>
      </c>
      <c r="H83" s="320">
        <f>N('Изолента цвета'!I17)</f>
        <v>0</v>
      </c>
      <c r="I83" s="320">
        <f>IF(N(E83)&gt;0,N(E83),H83)</f>
        <v>0</v>
      </c>
      <c r="J83" s="320">
        <f>I83*IF(N('Изолента цвета'!E17)&gt;0,N('Изолента цвета'!E17),N('Изолента цвета'!G17))</f>
        <v>0</v>
      </c>
      <c r="K83" s="320">
        <f>I83*IF(N('Изолента цвета'!F17)&gt;0,N('Изолента цвета'!F17),N('Изолента цвета'!G17))</f>
        <v>0</v>
      </c>
      <c r="L83" s="320">
        <f>N(L82)+(N(I83)&gt;0)</f>
        <v>0</v>
      </c>
    </row>
    <row r="84">
      <c r="A84" s="321" t="inlineStr">
        <is>
          <t xml:space="preserve">Изолента цвета</t>
        </is>
      </c>
      <c r="B84" s="314" t="str">
        <f>'Изолента цвета'!A18&amp;""</f>
        <v>IU1K white </v>
      </c>
      <c r="C84" s="315" t="str">
        <f>'Изолента цвета'!B18&amp;""</f>
        <v>ПВХ; белая; 19ммх20м, толщина 0,18 самозатухающая</v>
      </c>
      <c r="D84" s="316" t="str">
        <f>IF('Изолента цвета'!H18="+","есть",IF('Изолента цвета'!H18="-","нет",""))</f>
        <v>есть</v>
      </c>
      <c r="E84" s="317"/>
      <c r="F84" s="318">
        <f>IF(N('Изолента цвета'!G18)&lt;=0,"по запросу",CHOOSE($K$3,IF(N('Изолента цвета'!E18)&gt;0,N('Изолента цвета'!E18),N('Изолента цвета'!G18)),IF(N('Изолента цвета'!F18)&gt;0,N('Изолента цвета'!F18),N('Изолента цвета'!G18)),N('Изолента цвета'!G18)))</f>
        <v>197</v>
      </c>
      <c r="G84" s="319" t="str">
        <f>IF(I84&lt;=0,"",IF(ISNUMBER(F84),I84*F84,"по запросу"))</f>
        <v/>
      </c>
      <c r="H84" s="320">
        <f>N('Изолента цвета'!I18)</f>
        <v>0</v>
      </c>
      <c r="I84" s="320">
        <f>IF(N(E84)&gt;0,N(E84),H84)</f>
        <v>0</v>
      </c>
      <c r="J84" s="320">
        <f>I84*IF(N('Изолента цвета'!E18)&gt;0,N('Изолента цвета'!E18),N('Изолента цвета'!G18))</f>
        <v>0</v>
      </c>
      <c r="K84" s="320">
        <f>I84*IF(N('Изолента цвета'!F18)&gt;0,N('Изолента цвета'!F18),N('Изолента цвета'!G18))</f>
        <v>0</v>
      </c>
      <c r="L84" s="320">
        <f>N(L83)+(N(I84)&gt;0)</f>
        <v>0</v>
      </c>
    </row>
    <row r="85">
      <c r="A85" s="321" t="inlineStr">
        <is>
          <t xml:space="preserve">Изолента цвета</t>
        </is>
      </c>
      <c r="B85" s="314" t="str">
        <f>'Изолента цвета'!A19&amp;""</f>
        <v>IU1K violet </v>
      </c>
      <c r="C85" s="315" t="str">
        <f>'Изолента цвета'!B19&amp;""</f>
        <v>ПВХ; фиолетовая; 19ммх20м, толщина 0,18 самозатухающая</v>
      </c>
      <c r="D85" s="316" t="str">
        <f>IF('Изолента цвета'!H19="+","есть",IF('Изолента цвета'!H19="-","нет",""))</f>
        <v>есть</v>
      </c>
      <c r="E85" s="317"/>
      <c r="F85" s="318">
        <f>IF(N('Изолента цвета'!G19)&lt;=0,"по запросу",CHOOSE($K$3,IF(N('Изолента цвета'!E19)&gt;0,N('Изолента цвета'!E19),N('Изолента цвета'!G19)),IF(N('Изолента цвета'!F19)&gt;0,N('Изолента цвета'!F19),N('Изолента цвета'!G19)),N('Изолента цвета'!G19)))</f>
        <v>197</v>
      </c>
      <c r="G85" s="319" t="str">
        <f>IF(I85&lt;=0,"",IF(ISNUMBER(F85),I85*F85,"по запросу"))</f>
        <v/>
      </c>
      <c r="H85" s="320">
        <f>N('Изолента цвета'!I19)</f>
        <v>0</v>
      </c>
      <c r="I85" s="320">
        <f>IF(N(E85)&gt;0,N(E85),H85)</f>
        <v>0</v>
      </c>
      <c r="J85" s="320">
        <f>I85*IF(N('Изолента цвета'!E19)&gt;0,N('Изолента цвета'!E19),N('Изолента цвета'!G19))</f>
        <v>0</v>
      </c>
      <c r="K85" s="320">
        <f>I85*IF(N('Изолента цвета'!F19)&gt;0,N('Изолента цвета'!F19),N('Изолента цвета'!G19))</f>
        <v>0</v>
      </c>
      <c r="L85" s="320">
        <f>N(L84)+(N(I85)&gt;0)</f>
        <v>0</v>
      </c>
    </row>
    <row r="86">
      <c r="A86" s="321" t="inlineStr">
        <is>
          <t xml:space="preserve">Изолента цвета</t>
        </is>
      </c>
      <c r="B86" s="314" t="str">
        <f>'Изолента цвета'!A20&amp;""</f>
        <v>IU1K grey</v>
      </c>
      <c r="C86" s="315" t="str">
        <f>'Изолента цвета'!B20&amp;""</f>
        <v>ПВХ; серая; 19ммх20м, толщина 0,18 самозатухающая</v>
      </c>
      <c r="D86" s="316" t="str">
        <f>IF('Изолента цвета'!H20="+","есть",IF('Изолента цвета'!H20="-","нет",""))</f>
        <v>есть</v>
      </c>
      <c r="E86" s="317"/>
      <c r="F86" s="318">
        <f>IF(N('Изолента цвета'!G20)&lt;=0,"по запросу",CHOOSE($K$3,IF(N('Изолента цвета'!E20)&gt;0,N('Изолента цвета'!E20),N('Изолента цвета'!G20)),IF(N('Изолента цвета'!F20)&gt;0,N('Изолента цвета'!F20),N('Изолента цвета'!G20)),N('Изолента цвета'!G20)))</f>
        <v>197</v>
      </c>
      <c r="G86" s="319" t="str">
        <f>IF(I86&lt;=0,"",IF(ISNUMBER(F86),I86*F86,"по запросу"))</f>
        <v/>
      </c>
      <c r="H86" s="320">
        <f>N('Изолента цвета'!I20)</f>
        <v>0</v>
      </c>
      <c r="I86" s="320">
        <f>IF(N(E86)&gt;0,N(E86),H86)</f>
        <v>0</v>
      </c>
      <c r="J86" s="320">
        <f>I86*IF(N('Изолента цвета'!E20)&gt;0,N('Изолента цвета'!E20),N('Изолента цвета'!G20))</f>
        <v>0</v>
      </c>
      <c r="K86" s="320">
        <f>I86*IF(N('Изолента цвета'!F20)&gt;0,N('Изолента цвета'!F20),N('Изолента цвета'!G20))</f>
        <v>0</v>
      </c>
      <c r="L86" s="320">
        <f>N(L85)+(N(I86)&gt;0)</f>
        <v>0</v>
      </c>
    </row>
    <row r="87">
      <c r="A87" s="321" t="inlineStr">
        <is>
          <t xml:space="preserve">Изолента цвета</t>
        </is>
      </c>
      <c r="B87" s="314" t="str">
        <f>'Изолента цвета'!A21&amp;""</f>
        <v>IU1K brown</v>
      </c>
      <c r="C87" s="315" t="str">
        <f>'Изолента цвета'!B21&amp;""</f>
        <v>ПВХ; коричневая; 19ммх20м, толщина 0,18 самозатухающая</v>
      </c>
      <c r="D87" s="316" t="str">
        <f>IF('Изолента цвета'!H21="+","есть",IF('Изолента цвета'!H21="-","нет",""))</f>
        <v>есть</v>
      </c>
      <c r="E87" s="317"/>
      <c r="F87" s="318">
        <f>IF(N('Изолента цвета'!G21)&lt;=0,"по запросу",CHOOSE($K$3,IF(N('Изолента цвета'!E21)&gt;0,N('Изолента цвета'!E21),N('Изолента цвета'!G21)),IF(N('Изолента цвета'!F21)&gt;0,N('Изолента цвета'!F21),N('Изолента цвета'!G21)),N('Изолента цвета'!G21)))</f>
        <v>197</v>
      </c>
      <c r="G87" s="319" t="str">
        <f>IF(I87&lt;=0,"",IF(ISNUMBER(F87),I87*F87,"по запросу"))</f>
        <v/>
      </c>
      <c r="H87" s="320">
        <f>N('Изолента цвета'!I21)</f>
        <v>0</v>
      </c>
      <c r="I87" s="320">
        <f>IF(N(E87)&gt;0,N(E87),H87)</f>
        <v>0</v>
      </c>
      <c r="J87" s="320">
        <f>I87*IF(N('Изолента цвета'!E21)&gt;0,N('Изолента цвета'!E21),N('Изолента цвета'!G21))</f>
        <v>0</v>
      </c>
      <c r="K87" s="320">
        <f>I87*IF(N('Изолента цвета'!F21)&gt;0,N('Изолента цвета'!F21),N('Изолента цвета'!G21))</f>
        <v>0</v>
      </c>
      <c r="L87" s="320">
        <f>N(L86)+(N(I87)&gt;0)</f>
        <v>0</v>
      </c>
    </row>
    <row r="88">
      <c r="A88" s="321" t="inlineStr">
        <is>
          <t xml:space="preserve">Изолента цвета</t>
        </is>
      </c>
      <c r="B88" s="314" t="str">
        <f>'Изолента цвета'!A22&amp;""</f>
        <v>IC6P white</v>
      </c>
      <c r="C88" s="315" t="str">
        <f>'Изолента цвета'!B22&amp;""</f>
        <v>ПВХ; белая; 19ммх20м, толщина 0,18мм, всепогодная, самозатухающая</v>
      </c>
      <c r="D88" s="316" t="str">
        <f>IF('Изолента цвета'!H22="+","есть",IF('Изолента цвета'!H22="-","нет",""))</f>
        <v>есть</v>
      </c>
      <c r="E88" s="317"/>
      <c r="F88" s="318">
        <f>IF(N('Изолента цвета'!G22)&lt;=0,"по запросу",CHOOSE($K$3,IF(N('Изолента цвета'!E22)&gt;0,N('Изолента цвета'!E22),N('Изолента цвета'!G22)),IF(N('Изолента цвета'!F22)&gt;0,N('Изолента цвета'!F22),N('Изолента цвета'!G22)),N('Изолента цвета'!G22)))</f>
        <v>232.4</v>
      </c>
      <c r="G88" s="319" t="str">
        <f>IF(I88&lt;=0,"",IF(ISNUMBER(F88),I88*F88,"по запросу"))</f>
        <v/>
      </c>
      <c r="H88" s="320">
        <f>N('Изолента цвета'!I22)</f>
        <v>0</v>
      </c>
      <c r="I88" s="320">
        <f>IF(N(E88)&gt;0,N(E88),H88)</f>
        <v>0</v>
      </c>
      <c r="J88" s="320">
        <f>I88*IF(N('Изолента цвета'!E22)&gt;0,N('Изолента цвета'!E22),N('Изолента цвета'!G22))</f>
        <v>0</v>
      </c>
      <c r="K88" s="320">
        <f>I88*IF(N('Изолента цвета'!F22)&gt;0,N('Изолента цвета'!F22),N('Изолента цвета'!G22))</f>
        <v>0</v>
      </c>
      <c r="L88" s="320">
        <f>N(L87)+(N(I88)&gt;0)</f>
        <v>0</v>
      </c>
    </row>
    <row r="89" ht="20" customHeight="1">
      <c r="A89" s="321" t="inlineStr">
        <is>
          <t xml:space="preserve">Изолента цвета</t>
        </is>
      </c>
      <c r="B89" s="312" t="inlineStr">
        <is>
          <t xml:space="preserve">Изолента класса "standart"</t>
        </is>
      </c>
      <c r="L89" s="320">
        <f>N(L88)+(N(I89)&gt;0)</f>
        <v>0</v>
      </c>
    </row>
    <row r="90">
      <c r="A90" s="321" t="inlineStr">
        <is>
          <t xml:space="preserve">Изолента цвета</t>
        </is>
      </c>
      <c r="B90" s="314" t="str">
        <f>'Изолента цвета'!A24&amp;""</f>
        <v>IZ 1510  green/yellow</v>
      </c>
      <c r="C90" s="315" t="str">
        <f>'Изолента цвета'!B24&amp;""</f>
        <v>ПВХ; желто/зеленая ; 15ммх10м, толщина 0,12мм    </v>
      </c>
      <c r="D90" s="316" t="str">
        <f>IF('Изолента цвета'!H24="+","есть",IF('Изолента цвета'!H24="-","нет",""))</f>
        <v>нет</v>
      </c>
      <c r="E90" s="317"/>
      <c r="F90" s="318">
        <f>IF(N('Изолента цвета'!G24)&lt;=0,"по запросу",CHOOSE($K$3,IF(N('Изолента цвета'!E24)&gt;0,N('Изолента цвета'!E24),N('Изолента цвета'!G24)),IF(N('Изолента цвета'!F24)&gt;0,N('Изолента цвета'!F24),N('Изолента цвета'!G24)),N('Изолента цвета'!G24)))</f>
        <v>58</v>
      </c>
      <c r="G90" s="319" t="str">
        <f>IF(I90&lt;=0,"",IF(ISNUMBER(F90),I90*F90,"по запросу"))</f>
        <v/>
      </c>
      <c r="H90" s="320">
        <f>N('Изолента цвета'!I24)</f>
        <v>0</v>
      </c>
      <c r="I90" s="320">
        <f>IF(N(E90)&gt;0,N(E90),H90)</f>
        <v>0</v>
      </c>
      <c r="J90" s="320">
        <f>I90*IF(N('Изолента цвета'!E24)&gt;0,N('Изолента цвета'!E24),N('Изолента цвета'!G24))</f>
        <v>0</v>
      </c>
      <c r="K90" s="320">
        <f>I90*IF(N('Изолента цвета'!F24)&gt;0,N('Изолента цвета'!F24),N('Изолента цвета'!G24))</f>
        <v>0</v>
      </c>
      <c r="L90" s="320">
        <f>N(L89)+(N(I90)&gt;0)</f>
        <v>0</v>
      </c>
    </row>
    <row r="91">
      <c r="A91" s="321" t="inlineStr">
        <is>
          <t xml:space="preserve">Изолента цвета</t>
        </is>
      </c>
      <c r="B91" s="314" t="str">
        <f>'Изолента цвета'!A25&amp;""</f>
        <v>IZ 1510 red</v>
      </c>
      <c r="C91" s="315" t="str">
        <f>'Изолента цвета'!B25&amp;""</f>
        <v>ПВХ; красная; 15ммх10м, толщина 0,13мм  </v>
      </c>
      <c r="D91" s="316" t="str">
        <f>IF('Изолента цвета'!H25="+","есть",IF('Изолента цвета'!H25="-","нет",""))</f>
        <v>есть</v>
      </c>
      <c r="E91" s="317"/>
      <c r="F91" s="318">
        <f>IF(N('Изолента цвета'!G25)&lt;=0,"по запросу",CHOOSE($K$3,IF(N('Изолента цвета'!E25)&gt;0,N('Изолента цвета'!E25),N('Изолента цвета'!G25)),IF(N('Изолента цвета'!F25)&gt;0,N('Изолента цвета'!F25),N('Изолента цвета'!G25)),N('Изолента цвета'!G25)))</f>
        <v>51.7</v>
      </c>
      <c r="G91" s="319" t="str">
        <f>IF(I91&lt;=0,"",IF(ISNUMBER(F91),I91*F91,"по запросу"))</f>
        <v/>
      </c>
      <c r="H91" s="320">
        <f>N('Изолента цвета'!I25)</f>
        <v>0</v>
      </c>
      <c r="I91" s="320">
        <f>IF(N(E91)&gt;0,N(E91),H91)</f>
        <v>0</v>
      </c>
      <c r="J91" s="320">
        <f>I91*IF(N('Изолента цвета'!E25)&gt;0,N('Изолента цвета'!E25),N('Изолента цвета'!G25))</f>
        <v>0</v>
      </c>
      <c r="K91" s="320">
        <f>I91*IF(N('Изолента цвета'!F25)&gt;0,N('Изолента цвета'!F25),N('Изолента цвета'!G25))</f>
        <v>0</v>
      </c>
      <c r="L91" s="320">
        <f>N(L90)+(N(I91)&gt;0)</f>
        <v>0</v>
      </c>
    </row>
    <row r="92">
      <c r="A92" s="321" t="inlineStr">
        <is>
          <t xml:space="preserve">Изолента цвета</t>
        </is>
      </c>
      <c r="B92" s="314" t="str">
        <f>'Изолента цвета'!A26&amp;""</f>
        <v>IZ 1510 yellow</v>
      </c>
      <c r="C92" s="315" t="str">
        <f>'Изолента цвета'!B26&amp;""</f>
        <v>ПВХ; желтая; 15ммх10м, толщина 0,13мм  </v>
      </c>
      <c r="D92" s="316" t="str">
        <f>IF('Изолента цвета'!H26="+","есть",IF('Изолента цвета'!H26="-","нет",""))</f>
        <v>есть</v>
      </c>
      <c r="E92" s="317"/>
      <c r="F92" s="318">
        <f>IF(N('Изолента цвета'!G26)&lt;=0,"по запросу",CHOOSE($K$3,IF(N('Изолента цвета'!E26)&gt;0,N('Изолента цвета'!E26),N('Изолента цвета'!G26)),IF(N('Изолента цвета'!F26)&gt;0,N('Изолента цвета'!F26),N('Изолента цвета'!G26)),N('Изолента цвета'!G26)))</f>
        <v>51.7</v>
      </c>
      <c r="G92" s="319" t="str">
        <f>IF(I92&lt;=0,"",IF(ISNUMBER(F92),I92*F92,"по запросу"))</f>
        <v/>
      </c>
      <c r="H92" s="320">
        <f>N('Изолента цвета'!I26)</f>
        <v>0</v>
      </c>
      <c r="I92" s="320">
        <f>IF(N(E92)&gt;0,N(E92),H92)</f>
        <v>0</v>
      </c>
      <c r="J92" s="320">
        <f>I92*IF(N('Изолента цвета'!E26)&gt;0,N('Изолента цвета'!E26),N('Изолента цвета'!G26))</f>
        <v>0</v>
      </c>
      <c r="K92" s="320">
        <f>I92*IF(N('Изолента цвета'!F26)&gt;0,N('Изолента цвета'!F26),N('Изолента цвета'!G26))</f>
        <v>0</v>
      </c>
      <c r="L92" s="320">
        <f>N(L91)+(N(I92)&gt;0)</f>
        <v>0</v>
      </c>
    </row>
    <row r="93">
      <c r="A93" s="321" t="inlineStr">
        <is>
          <t xml:space="preserve">Изолента цвета</t>
        </is>
      </c>
      <c r="B93" s="314" t="str">
        <f>'Изолента цвета'!A27&amp;""</f>
        <v>IZ 1510 green</v>
      </c>
      <c r="C93" s="315" t="str">
        <f>'Изолента цвета'!B27&amp;""</f>
        <v>ПВХ; зеленая; 15ммх10м, толщина 0,13мм  </v>
      </c>
      <c r="D93" s="316" t="str">
        <f>IF('Изолента цвета'!H27="+","есть",IF('Изолента цвета'!H27="-","нет",""))</f>
        <v>есть</v>
      </c>
      <c r="E93" s="317"/>
      <c r="F93" s="318">
        <f>IF(N('Изолента цвета'!G27)&lt;=0,"по запросу",CHOOSE($K$3,IF(N('Изолента цвета'!E27)&gt;0,N('Изолента цвета'!E27),N('Изолента цвета'!G27)),IF(N('Изолента цвета'!F27)&gt;0,N('Изолента цвета'!F27),N('Изолента цвета'!G27)),N('Изолента цвета'!G27)))</f>
        <v>51.7</v>
      </c>
      <c r="G93" s="319" t="str">
        <f>IF(I93&lt;=0,"",IF(ISNUMBER(F93),I93*F93,"по запросу"))</f>
        <v/>
      </c>
      <c r="H93" s="320">
        <f>N('Изолента цвета'!I27)</f>
        <v>0</v>
      </c>
      <c r="I93" s="320">
        <f>IF(N(E93)&gt;0,N(E93),H93)</f>
        <v>0</v>
      </c>
      <c r="J93" s="320">
        <f>I93*IF(N('Изолента цвета'!E27)&gt;0,N('Изолента цвета'!E27),N('Изолента цвета'!G27))</f>
        <v>0</v>
      </c>
      <c r="K93" s="320">
        <f>I93*IF(N('Изолента цвета'!F27)&gt;0,N('Изолента цвета'!F27),N('Изолента цвета'!G27))</f>
        <v>0</v>
      </c>
      <c r="L93" s="320">
        <f>N(L92)+(N(I93)&gt;0)</f>
        <v>0</v>
      </c>
    </row>
    <row r="94">
      <c r="A94" s="321" t="inlineStr">
        <is>
          <t xml:space="preserve">Изолента цвета</t>
        </is>
      </c>
      <c r="B94" s="314" t="str">
        <f>'Изолента цвета'!A28&amp;""</f>
        <v>IZ 1510 blue</v>
      </c>
      <c r="C94" s="315" t="str">
        <f>'Изолента цвета'!B28&amp;""</f>
        <v>ПВХ; синяя 15ммх10м, толщина 0,13мм  </v>
      </c>
      <c r="D94" s="316" t="str">
        <f>IF('Изолента цвета'!H28="+","есть",IF('Изолента цвета'!H28="-","нет",""))</f>
        <v>есть</v>
      </c>
      <c r="E94" s="317"/>
      <c r="F94" s="318">
        <f>IF(N('Изолента цвета'!G28)&lt;=0,"по запросу",CHOOSE($K$3,IF(N('Изолента цвета'!E28)&gt;0,N('Изолента цвета'!E28),N('Изолента цвета'!G28)),IF(N('Изолента цвета'!F28)&gt;0,N('Изолента цвета'!F28),N('Изолента цвета'!G28)),N('Изолента цвета'!G28)))</f>
        <v>51.7</v>
      </c>
      <c r="G94" s="319" t="str">
        <f>IF(I94&lt;=0,"",IF(ISNUMBER(F94),I94*F94,"по запросу"))</f>
        <v/>
      </c>
      <c r="H94" s="320">
        <f>N('Изолента цвета'!I28)</f>
        <v>0</v>
      </c>
      <c r="I94" s="320">
        <f>IF(N(E94)&gt;0,N(E94),H94)</f>
        <v>0</v>
      </c>
      <c r="J94" s="320">
        <f>I94*IF(N('Изолента цвета'!E28)&gt;0,N('Изолента цвета'!E28),N('Изолента цвета'!G28))</f>
        <v>0</v>
      </c>
      <c r="K94" s="320">
        <f>I94*IF(N('Изолента цвета'!F28)&gt;0,N('Изолента цвета'!F28),N('Изолента цвета'!G28))</f>
        <v>0</v>
      </c>
      <c r="L94" s="320">
        <f>N(L93)+(N(I94)&gt;0)</f>
        <v>0</v>
      </c>
    </row>
    <row r="95">
      <c r="A95" s="321" t="inlineStr">
        <is>
          <t xml:space="preserve">Изолента цвета</t>
        </is>
      </c>
      <c r="B95" s="314" t="str">
        <f>'Изолента цвета'!A29&amp;""</f>
        <v>IZ 1510 white</v>
      </c>
      <c r="C95" s="315" t="str">
        <f>'Изолента цвета'!B29&amp;""</f>
        <v>ПВХ; белая; 15ммх10м, толщина 0,13мм  </v>
      </c>
      <c r="D95" s="316" t="str">
        <f>IF('Изолента цвета'!H29="+","есть",IF('Изолента цвета'!H29="-","нет",""))</f>
        <v>есть</v>
      </c>
      <c r="E95" s="317"/>
      <c r="F95" s="318">
        <f>IF(N('Изолента цвета'!G29)&lt;=0,"по запросу",CHOOSE($K$3,IF(N('Изолента цвета'!E29)&gt;0,N('Изолента цвета'!E29),N('Изолента цвета'!G29)),IF(N('Изолента цвета'!F29)&gt;0,N('Изолента цвета'!F29),N('Изолента цвета'!G29)),N('Изолента цвета'!G29)))</f>
        <v>51.7</v>
      </c>
      <c r="G95" s="319" t="str">
        <f>IF(I95&lt;=0,"",IF(ISNUMBER(F95),I95*F95,"по запросу"))</f>
        <v/>
      </c>
      <c r="H95" s="320">
        <f>N('Изолента цвета'!I29)</f>
        <v>0</v>
      </c>
      <c r="I95" s="320">
        <f>IF(N(E95)&gt;0,N(E95),H95)</f>
        <v>0</v>
      </c>
      <c r="J95" s="320">
        <f>I95*IF(N('Изолента цвета'!E29)&gt;0,N('Изолента цвета'!E29),N('Изолента цвета'!G29))</f>
        <v>0</v>
      </c>
      <c r="K95" s="320">
        <f>I95*IF(N('Изолента цвета'!F29)&gt;0,N('Изолента цвета'!F29),N('Изолента цвета'!G29))</f>
        <v>0</v>
      </c>
      <c r="L95" s="320">
        <f>N(L94)+(N(I95)&gt;0)</f>
        <v>0</v>
      </c>
    </row>
    <row r="96">
      <c r="A96" s="321" t="inlineStr">
        <is>
          <t xml:space="preserve">Изолента цвета</t>
        </is>
      </c>
      <c r="B96" s="314" t="str">
        <f>'Изолента цвета'!A30&amp;""</f>
        <v>IZ 1918 red</v>
      </c>
      <c r="C96" s="315" t="str">
        <f>'Изолента цвета'!B30&amp;""</f>
        <v>ПВХ; красная; 19ммх18,3м, толщина 0,13мм  </v>
      </c>
      <c r="D96" s="316" t="str">
        <f>IF('Изолента цвета'!H30="+","есть",IF('Изолента цвета'!H30="-","нет",""))</f>
        <v>есть</v>
      </c>
      <c r="E96" s="317"/>
      <c r="F96" s="318">
        <f>IF(N('Изолента цвета'!G30)&lt;=0,"по запросу",CHOOSE($K$3,IF(N('Изолента цвета'!E30)&gt;0,N('Изолента цвета'!E30),N('Изолента цвета'!G30)),IF(N('Изолента цвета'!F30)&gt;0,N('Изолента цвета'!F30),N('Изолента цвета'!G30)),N('Изолента цвета'!G30)))</f>
        <v>106.3</v>
      </c>
      <c r="G96" s="319" t="str">
        <f>IF(I96&lt;=0,"",IF(ISNUMBER(F96),I96*F96,"по запросу"))</f>
        <v/>
      </c>
      <c r="H96" s="320">
        <f>N('Изолента цвета'!I30)</f>
        <v>0</v>
      </c>
      <c r="I96" s="320">
        <f>IF(N(E96)&gt;0,N(E96),H96)</f>
        <v>0</v>
      </c>
      <c r="J96" s="320">
        <f>I96*IF(N('Изолента цвета'!E30)&gt;0,N('Изолента цвета'!E30),N('Изолента цвета'!G30))</f>
        <v>0</v>
      </c>
      <c r="K96" s="320">
        <f>I96*IF(N('Изолента цвета'!F30)&gt;0,N('Изолента цвета'!F30),N('Изолента цвета'!G30))</f>
        <v>0</v>
      </c>
      <c r="L96" s="320">
        <f>N(L95)+(N(I96)&gt;0)</f>
        <v>0</v>
      </c>
    </row>
    <row r="97">
      <c r="A97" s="321" t="inlineStr">
        <is>
          <t xml:space="preserve">Изолента цвета</t>
        </is>
      </c>
      <c r="B97" s="314" t="str">
        <f>'Изолента цвета'!A31&amp;""</f>
        <v>IZ 1918 yellow</v>
      </c>
      <c r="C97" s="315" t="str">
        <f>'Изолента цвета'!B31&amp;""</f>
        <v>ПВХ; желтая; 19ммх18,3м, толщина 0,13мм  </v>
      </c>
      <c r="D97" s="316" t="str">
        <f>IF('Изолента цвета'!H31="+","есть",IF('Изолента цвета'!H31="-","нет",""))</f>
        <v>есть</v>
      </c>
      <c r="E97" s="317"/>
      <c r="F97" s="318">
        <f>IF(N('Изолента цвета'!G31)&lt;=0,"по запросу",CHOOSE($K$3,IF(N('Изолента цвета'!E31)&gt;0,N('Изолента цвета'!E31),N('Изолента цвета'!G31)),IF(N('Изолента цвета'!F31)&gt;0,N('Изолента цвета'!F31),N('Изолента цвета'!G31)),N('Изолента цвета'!G31)))</f>
        <v>106.3</v>
      </c>
      <c r="G97" s="319" t="str">
        <f>IF(I97&lt;=0,"",IF(ISNUMBER(F97),I97*F97,"по запросу"))</f>
        <v/>
      </c>
      <c r="H97" s="320">
        <f>N('Изолента цвета'!I31)</f>
        <v>0</v>
      </c>
      <c r="I97" s="320">
        <f>IF(N(E97)&gt;0,N(E97),H97)</f>
        <v>0</v>
      </c>
      <c r="J97" s="320">
        <f>I97*IF(N('Изолента цвета'!E31)&gt;0,N('Изолента цвета'!E31),N('Изолента цвета'!G31))</f>
        <v>0</v>
      </c>
      <c r="K97" s="320">
        <f>I97*IF(N('Изолента цвета'!F31)&gt;0,N('Изолента цвета'!F31),N('Изолента цвета'!G31))</f>
        <v>0</v>
      </c>
      <c r="L97" s="320">
        <f>N(L96)+(N(I97)&gt;0)</f>
        <v>0</v>
      </c>
    </row>
    <row r="98">
      <c r="A98" s="321" t="inlineStr">
        <is>
          <t xml:space="preserve">Изолента цвета</t>
        </is>
      </c>
      <c r="B98" s="314" t="str">
        <f>'Изолента цвета'!A32&amp;""</f>
        <v>IZ 1918 green</v>
      </c>
      <c r="C98" s="315" t="str">
        <f>'Изолента цвета'!B32&amp;""</f>
        <v>ПВХ; зеленая; 19ммх18,3м, толщина 0,13мм  </v>
      </c>
      <c r="D98" s="316" t="str">
        <f>IF('Изолента цвета'!H32="+","есть",IF('Изолента цвета'!H32="-","нет",""))</f>
        <v>есть</v>
      </c>
      <c r="E98" s="317"/>
      <c r="F98" s="318">
        <f>IF(N('Изолента цвета'!G32)&lt;=0,"по запросу",CHOOSE($K$3,IF(N('Изолента цвета'!E32)&gt;0,N('Изолента цвета'!E32),N('Изолента цвета'!G32)),IF(N('Изолента цвета'!F32)&gt;0,N('Изолента цвета'!F32),N('Изолента цвета'!G32)),N('Изолента цвета'!G32)))</f>
        <v>106.3</v>
      </c>
      <c r="G98" s="319" t="str">
        <f>IF(I98&lt;=0,"",IF(ISNUMBER(F98),I98*F98,"по запросу"))</f>
        <v/>
      </c>
      <c r="H98" s="320">
        <f>N('Изолента цвета'!I32)</f>
        <v>0</v>
      </c>
      <c r="I98" s="320">
        <f>IF(N(E98)&gt;0,N(E98),H98)</f>
        <v>0</v>
      </c>
      <c r="J98" s="320">
        <f>I98*IF(N('Изолента цвета'!E32)&gt;0,N('Изолента цвета'!E32),N('Изолента цвета'!G32))</f>
        <v>0</v>
      </c>
      <c r="K98" s="320">
        <f>I98*IF(N('Изолента цвета'!F32)&gt;0,N('Изолента цвета'!F32),N('Изолента цвета'!G32))</f>
        <v>0</v>
      </c>
      <c r="L98" s="320">
        <f>N(L97)+(N(I98)&gt;0)</f>
        <v>0</v>
      </c>
    </row>
    <row r="99">
      <c r="A99" s="321" t="inlineStr">
        <is>
          <t xml:space="preserve">Изолента цвета</t>
        </is>
      </c>
      <c r="B99" s="314" t="str">
        <f>'Изолента цвета'!A33&amp;""</f>
        <v>IZ 1918 blue</v>
      </c>
      <c r="C99" s="315" t="str">
        <f>'Изолента цвета'!B33&amp;""</f>
        <v>ПВХ; синяя; 19ммх18,3м, толщина 0,13мм  </v>
      </c>
      <c r="D99" s="316" t="str">
        <f>IF('Изолента цвета'!H33="+","есть",IF('Изолента цвета'!H33="-","нет",""))</f>
        <v>есть</v>
      </c>
      <c r="E99" s="317"/>
      <c r="F99" s="318">
        <f>IF(N('Изолента цвета'!G33)&lt;=0,"по запросу",CHOOSE($K$3,IF(N('Изолента цвета'!E33)&gt;0,N('Изолента цвета'!E33),N('Изолента цвета'!G33)),IF(N('Изолента цвета'!F33)&gt;0,N('Изолента цвета'!F33),N('Изолента цвета'!G33)),N('Изолента цвета'!G33)))</f>
        <v>106.3</v>
      </c>
      <c r="G99" s="319" t="str">
        <f>IF(I99&lt;=0,"",IF(ISNUMBER(F99),I99*F99,"по запросу"))</f>
        <v/>
      </c>
      <c r="H99" s="320">
        <f>N('Изолента цвета'!I33)</f>
        <v>0</v>
      </c>
      <c r="I99" s="320">
        <f>IF(N(E99)&gt;0,N(E99),H99)</f>
        <v>0</v>
      </c>
      <c r="J99" s="320">
        <f>I99*IF(N('Изолента цвета'!E33)&gt;0,N('Изолента цвета'!E33),N('Изолента цвета'!G33))</f>
        <v>0</v>
      </c>
      <c r="K99" s="320">
        <f>I99*IF(N('Изолента цвета'!F33)&gt;0,N('Изолента цвета'!F33),N('Изолента цвета'!G33))</f>
        <v>0</v>
      </c>
      <c r="L99" s="320">
        <f>N(L98)+(N(I99)&gt;0)</f>
        <v>0</v>
      </c>
    </row>
    <row r="100">
      <c r="A100" s="321" t="inlineStr">
        <is>
          <t xml:space="preserve">Изолента цвета</t>
        </is>
      </c>
      <c r="B100" s="314" t="str">
        <f>'Изолента цвета'!A34&amp;""</f>
        <v>IZ 1918 white</v>
      </c>
      <c r="C100" s="315" t="str">
        <f>'Изолента цвета'!B34&amp;""</f>
        <v>ПВХ; белая; 19ммх18,3м, толщина 0,13мм  </v>
      </c>
      <c r="D100" s="316" t="str">
        <f>IF('Изолента цвета'!H34="+","есть",IF('Изолента цвета'!H34="-","нет",""))</f>
        <v>есть</v>
      </c>
      <c r="E100" s="317"/>
      <c r="F100" s="318">
        <f>IF(N('Изолента цвета'!G34)&lt;=0,"по запросу",CHOOSE($K$3,IF(N('Изолента цвета'!E34)&gt;0,N('Изолента цвета'!E34),N('Изолента цвета'!G34)),IF(N('Изолента цвета'!F34)&gt;0,N('Изолента цвета'!F34),N('Изолента цвета'!G34)),N('Изолента цвета'!G34)))</f>
        <v>106.3</v>
      </c>
      <c r="G100" s="319" t="str">
        <f>IF(I100&lt;=0,"",IF(ISNUMBER(F100),I100*F100,"по запросу"))</f>
        <v/>
      </c>
      <c r="H100" s="320">
        <f>N('Изолента цвета'!I34)</f>
        <v>0</v>
      </c>
      <c r="I100" s="320">
        <f>IF(N(E100)&gt;0,N(E100),H100)</f>
        <v>0</v>
      </c>
      <c r="J100" s="320">
        <f>I100*IF(N('Изолента цвета'!E34)&gt;0,N('Изолента цвета'!E34),N('Изолента цвета'!G34))</f>
        <v>0</v>
      </c>
      <c r="K100" s="320">
        <f>I100*IF(N('Изолента цвета'!F34)&gt;0,N('Изолента цвета'!F34),N('Изолента цвета'!G34))</f>
        <v>0</v>
      </c>
      <c r="L100" s="320">
        <f>N(L99)+(N(I100)&gt;0)</f>
        <v>0</v>
      </c>
    </row>
    <row r="101">
      <c r="A101" s="321" t="inlineStr">
        <is>
          <t xml:space="preserve">Изолента цвета</t>
        </is>
      </c>
      <c r="B101" s="314" t="str">
        <f>'Изолента цвета'!A35&amp;""</f>
        <v>Titan 19мм*20м, ПВХ, синяя</v>
      </c>
      <c r="C101" s="315" t="str">
        <f>'Изолента цвета'!B35&amp;""</f>
        <v>ПВХ; синяя; 19ммх20м, толщина 0,13мм, огнеупорная</v>
      </c>
      <c r="D101" s="316" t="str">
        <f>IF('Изолента цвета'!H35="+","есть",IF('Изолента цвета'!H35="-","нет",""))</f>
        <v>есть</v>
      </c>
      <c r="E101" s="317"/>
      <c r="F101" s="318">
        <f>IF(N('Изолента цвета'!G35)&lt;=0,"по запросу",CHOOSE($K$3,IF(N('Изолента цвета'!E35)&gt;0,N('Изолента цвета'!E35),N('Изолента цвета'!G35)),IF(N('Изолента цвета'!F35)&gt;0,N('Изолента цвета'!F35),N('Изолента цвета'!G35)),N('Изолента цвета'!G35)))</f>
        <v>111.1</v>
      </c>
      <c r="G101" s="319" t="str">
        <f>IF(I101&lt;=0,"",IF(ISNUMBER(F101),I101*F101,"по запросу"))</f>
        <v/>
      </c>
      <c r="H101" s="320">
        <f>N('Изолента цвета'!I35)</f>
        <v>0</v>
      </c>
      <c r="I101" s="320">
        <f>IF(N(E101)&gt;0,N(E101),H101)</f>
        <v>0</v>
      </c>
      <c r="J101" s="320">
        <f>I101*IF(N('Изолента цвета'!E35)&gt;0,N('Изолента цвета'!E35),N('Изолента цвета'!G35))</f>
        <v>0</v>
      </c>
      <c r="K101" s="320">
        <f>I101*IF(N('Изолента цвета'!F35)&gt;0,N('Изолента цвета'!F35),N('Изолента цвета'!G35))</f>
        <v>0</v>
      </c>
      <c r="L101" s="320">
        <f>N(L100)+(N(I101)&gt;0)</f>
        <v>0</v>
      </c>
    </row>
    <row r="102" ht="28" customHeight="1">
      <c r="A102" s="310" t="inlineStr">
        <is>
          <t xml:space="preserve">ПРОМО</t>
        </is>
      </c>
      <c r="B102" s="310"/>
      <c r="C102" s="310"/>
      <c r="D102" s="310"/>
      <c r="E102" s="310"/>
      <c r="F102" s="310"/>
      <c r="G102" s="310"/>
      <c r="L102" s="320">
        <f>N(L101)+(N(I102)&gt;0)</f>
        <v>0</v>
      </c>
    </row>
    <row r="103" ht="20" customHeight="1">
      <c r="A103" s="321" t="inlineStr">
        <is>
          <t xml:space="preserve">ПРОМО</t>
        </is>
      </c>
      <c r="B103" s="312" t="inlineStr">
        <is>
          <t xml:space="preserve">ПРОМО продукция</t>
        </is>
      </c>
      <c r="L103" s="320">
        <f>N(L102)+(N(I103)&gt;0)</f>
        <v>0</v>
      </c>
    </row>
    <row r="104">
      <c r="A104" s="321" t="inlineStr">
        <is>
          <t xml:space="preserve">ПРОМО</t>
        </is>
      </c>
      <c r="B104" s="314" t="str">
        <f>'ПРОМО'!A5&amp;""</f>
        <v>Blade 5000 PROMO</v>
      </c>
      <c r="C104" s="315" t="str">
        <f>'ПРОМО'!C5&amp;""</f>
        <v>Ультра тонкий пауэрбэнк, черно/белый, покрытие софт-тач, тип батареи: Li-Polymer (cell UL approval), Емкость: 5000mAh, размер: 150*65*9.6 мм, вес: 121.3 г</v>
      </c>
      <c r="D104" s="316" t="str">
        <f>IF('ПРОМО'!I5="+","есть",IF('ПРОМО'!I5="-","нет",""))</f>
        <v>нет</v>
      </c>
      <c r="E104" s="317"/>
      <c r="F104" s="318">
        <f>IF(N('ПРОМО'!H5)&lt;=0,"по запросу",CHOOSE($K$3,IF(N('ПРОМО'!F5)&gt;0,N('ПРОМО'!F5),N('ПРОМО'!H5)),IF(N('ПРОМО'!G5)&gt;0,N('ПРОМО'!G5),N('ПРОМО'!H5)),N('ПРОМО'!H5)))</f>
        <v>632.4</v>
      </c>
      <c r="G104" s="319" t="str">
        <f>IF(I104&lt;=0,"",IF(ISNUMBER(F104),I104*F104,"по запросу"))</f>
        <v/>
      </c>
      <c r="H104" s="320">
        <f>N('ПРОМО'!J5)</f>
        <v>0</v>
      </c>
      <c r="I104" s="320">
        <f>IF(N(E104)&gt;0,N(E104),H104)</f>
        <v>0</v>
      </c>
      <c r="J104" s="320">
        <f>I104*IF(N('ПРОМО'!F5)&gt;0,N('ПРОМО'!F5),N('ПРОМО'!H5))</f>
        <v>0</v>
      </c>
      <c r="K104" s="320">
        <f>I104*IF(N('ПРОМО'!G5)&gt;0,N('ПРОМО'!G5),N('ПРОМО'!H5))</f>
        <v>0</v>
      </c>
      <c r="L104" s="320">
        <f>N(L103)+(N(I104)&gt;0)</f>
        <v>0</v>
      </c>
    </row>
    <row r="105">
      <c r="A105" s="321" t="inlineStr">
        <is>
          <t xml:space="preserve">ПРОМО</t>
        </is>
      </c>
      <c r="B105" s="314" t="str">
        <f>'ПРОМО'!A6&amp;""</f>
        <v>UP4850 c логотипом TERMINATOR</v>
      </c>
      <c r="C105" s="315" t="str">
        <f>'ПРОМО'!C6&amp;""</f>
        <v>П/э; скотч упаковочный 48мм х 50м</v>
      </c>
      <c r="D105" s="316" t="str">
        <f>IF('ПРОМО'!I6="+","есть",IF('ПРОМО'!I6="-","нет",""))</f>
        <v>нет</v>
      </c>
      <c r="E105" s="317"/>
      <c r="F105" s="318">
        <f>IF(N('ПРОМО'!H6)&lt;=0,"по запросу",CHOOSE($K$3,IF(N('ПРОМО'!F6)&gt;0,N('ПРОМО'!F6),N('ПРОМО'!H6)),IF(N('ПРОМО'!G6)&gt;0,N('ПРОМО'!G6),N('ПРОМО'!H6)),N('ПРОМО'!H6)))</f>
        <v>146.9</v>
      </c>
      <c r="G105" s="319" t="str">
        <f>IF(I105&lt;=0,"",IF(ISNUMBER(F105),I105*F105,"по запросу"))</f>
        <v/>
      </c>
      <c r="H105" s="320">
        <f>N('ПРОМО'!J6)</f>
        <v>0</v>
      </c>
      <c r="I105" s="320">
        <f>IF(N(E105)&gt;0,N(E105),H105)</f>
        <v>0</v>
      </c>
      <c r="J105" s="320">
        <f>I105*IF(N('ПРОМО'!F6)&gt;0,N('ПРОМО'!F6),N('ПРОМО'!H6))</f>
        <v>0</v>
      </c>
      <c r="K105" s="320">
        <f>I105*IF(N('ПРОМО'!G6)&gt;0,N('ПРОМО'!G6),N('ПРОМО'!H6))</f>
        <v>0</v>
      </c>
      <c r="L105" s="320">
        <f>N(L104)+(N(I105)&gt;0)</f>
        <v>0</v>
      </c>
    </row>
    <row r="106">
      <c r="A106" s="321" t="inlineStr">
        <is>
          <t xml:space="preserve">ПРОМО</t>
        </is>
      </c>
      <c r="B106" s="314" t="str">
        <f>'ПРОМО'!A7&amp;""</f>
        <v>Листы для заметок TERMINATOR</v>
      </c>
      <c r="C106" s="315" t="str">
        <f>'ПРОМО'!C7&amp;""</f>
        <v>Кубарики на склейке 9см*9см*5, 2см</v>
      </c>
      <c r="D106" s="316" t="str">
        <f>IF('ПРОМО'!I7="+","есть",IF('ПРОМО'!I7="-","нет",""))</f>
        <v>есть</v>
      </c>
      <c r="E106" s="317"/>
      <c r="F106" s="318">
        <f>IF(N('ПРОМО'!H7)&lt;=0,"по запросу",CHOOSE($K$3,IF(N('ПРОМО'!F7)&gt;0,N('ПРОМО'!F7),N('ПРОМО'!H7)),IF(N('ПРОМО'!G7)&gt;0,N('ПРОМО'!G7),N('ПРОМО'!H7)),N('ПРОМО'!H7)))</f>
        <v>122.4</v>
      </c>
      <c r="G106" s="319" t="str">
        <f>IF(I106&lt;=0,"",IF(ISNUMBER(F106),I106*F106,"по запросу"))</f>
        <v/>
      </c>
      <c r="H106" s="320">
        <f>N('ПРОМО'!J7)</f>
        <v>0</v>
      </c>
      <c r="I106" s="320">
        <f>IF(N(E106)&gt;0,N(E106),H106)</f>
        <v>0</v>
      </c>
      <c r="J106" s="320">
        <f>I106*IF(N('ПРОМО'!F7)&gt;0,N('ПРОМО'!F7),N('ПРОМО'!H7))</f>
        <v>0</v>
      </c>
      <c r="K106" s="320">
        <f>I106*IF(N('ПРОМО'!G7)&gt;0,N('ПРОМО'!G7),N('ПРОМО'!H7))</f>
        <v>0</v>
      </c>
      <c r="L106" s="320">
        <f>N(L105)+(N(I106)&gt;0)</f>
        <v>0</v>
      </c>
    </row>
    <row r="107">
      <c r="A107" s="321" t="inlineStr">
        <is>
          <t xml:space="preserve">ПРОМО</t>
        </is>
      </c>
      <c r="B107" s="314" t="str">
        <f>'ПРОМО'!A8&amp;""</f>
        <v>Зонт "TERMINATOR"</v>
      </c>
      <c r="C107" s="315" t="str">
        <f>'ПРОМО'!C8&amp;""</f>
        <v>Зонт-автомат с куполом из переработанного пластика с логотипом "TERMINATOR"</v>
      </c>
      <c r="D107" s="316" t="str">
        <f>IF('ПРОМО'!I8="+","есть",IF('ПРОМО'!I8="-","нет",""))</f>
        <v>есть</v>
      </c>
      <c r="E107" s="317"/>
      <c r="F107" s="318">
        <f>IF(N('ПРОМО'!H8)&lt;=0,"по запросу",CHOOSE($K$3,IF(N('ПРОМО'!F8)&gt;0,N('ПРОМО'!F8),N('ПРОМО'!H8)),IF(N('ПРОМО'!G8)&gt;0,N('ПРОМО'!G8),N('ПРОМО'!H8)),N('ПРОМО'!H8)))</f>
        <v>2000</v>
      </c>
      <c r="G107" s="319" t="str">
        <f>IF(I107&lt;=0,"",IF(ISNUMBER(F107),I107*F107,"по запросу"))</f>
        <v/>
      </c>
      <c r="H107" s="320">
        <f>N('ПРОМО'!J8)</f>
        <v>0</v>
      </c>
      <c r="I107" s="320">
        <f>IF(N(E107)&gt;0,N(E107),H107)</f>
        <v>0</v>
      </c>
      <c r="J107" s="320">
        <f>I107*IF(N('ПРОМО'!F8)&gt;0,N('ПРОМО'!F8),N('ПРОМО'!H8))</f>
        <v>0</v>
      </c>
      <c r="K107" s="320">
        <f>I107*IF(N('ПРОМО'!G8)&gt;0,N('ПРОМО'!G8),N('ПРОМО'!H8))</f>
        <v>0</v>
      </c>
      <c r="L107" s="320">
        <f>N(L106)+(N(I107)&gt;0)</f>
        <v>0</v>
      </c>
    </row>
    <row r="108">
      <c r="A108" s="321" t="inlineStr">
        <is>
          <t xml:space="preserve">ПРОМО</t>
        </is>
      </c>
      <c r="B108" s="314" t="str">
        <f>'ПРОМО'!A9&amp;""</f>
        <v>D-5.1918-20</v>
      </c>
      <c r="C108" s="315" t="str">
        <f>'ПРОМО'!C9&amp;""</f>
        <v>Диспенсер настенный для  изоленты TERMINATOR на 5 отсеков</v>
      </c>
      <c r="D108" s="316" t="str">
        <f>IF('ПРОМО'!I9="+","есть",IF('ПРОМО'!I9="-","нет",""))</f>
        <v>есть</v>
      </c>
      <c r="E108" s="317"/>
      <c r="F108" s="318">
        <f>IF(N('ПРОМО'!H9)&lt;=0,"по запросу",CHOOSE($K$3,IF(N('ПРОМО'!F9)&gt;0,N('ПРОМО'!F9),N('ПРОМО'!H9)),IF(N('ПРОМО'!G9)&gt;0,N('ПРОМО'!G9),N('ПРОМО'!H9)),N('ПРОМО'!H9)))</f>
        <v>2500</v>
      </c>
      <c r="G108" s="319" t="str">
        <f>IF(I108&lt;=0,"",IF(ISNUMBER(F108),I108*F108,"по запросу"))</f>
        <v/>
      </c>
      <c r="H108" s="320">
        <f>N('ПРОМО'!J9)</f>
        <v>0</v>
      </c>
      <c r="I108" s="320">
        <f>IF(N(E108)&gt;0,N(E108),H108)</f>
        <v>0</v>
      </c>
      <c r="J108" s="320">
        <f>I108*IF(N('ПРОМО'!F9)&gt;0,N('ПРОМО'!F9),N('ПРОМО'!H9))</f>
        <v>0</v>
      </c>
      <c r="K108" s="320">
        <f>I108*IF(N('ПРОМО'!G9)&gt;0,N('ПРОМО'!G9),N('ПРОМО'!H9))</f>
        <v>0</v>
      </c>
      <c r="L108" s="320">
        <f>N(L107)+(N(I108)&gt;0)</f>
        <v>0</v>
      </c>
    </row>
    <row r="109">
      <c r="A109" s="321" t="inlineStr">
        <is>
          <t xml:space="preserve">ПРОМО</t>
        </is>
      </c>
      <c r="B109" s="314" t="str">
        <f>'ПРОМО'!A10&amp;""</f>
        <v>Плед "TERMINATOR"</v>
      </c>
      <c r="C109" s="315" t="str">
        <f>'ПРОМО'!C10&amp;""</f>
        <v>Плед-трансформер, дорожный вязаный, дизайн "TERMINATOR"</v>
      </c>
      <c r="D109" s="316" t="str">
        <f>IF('ПРОМО'!I10="+","есть",IF('ПРОМО'!I10="-","нет",""))</f>
        <v>есть</v>
      </c>
      <c r="E109" s="317"/>
      <c r="F109" s="318">
        <f>IF(N('ПРОМО'!H10)&lt;=0,"по запросу",CHOOSE($K$3,IF(N('ПРОМО'!F10)&gt;0,N('ПРОМО'!F10),N('ПРОМО'!H10)),IF(N('ПРОМО'!G10)&gt;0,N('ПРОМО'!G10),N('ПРОМО'!H10)),N('ПРОМО'!H10)))</f>
        <v>4000</v>
      </c>
      <c r="G109" s="319" t="str">
        <f>IF(I109&lt;=0,"",IF(ISNUMBER(F109),I109*F109,"по запросу"))</f>
        <v/>
      </c>
      <c r="H109" s="320">
        <f>N('ПРОМО'!J10)</f>
        <v>0</v>
      </c>
      <c r="I109" s="320">
        <f>IF(N(E109)&gt;0,N(E109),H109)</f>
        <v>0</v>
      </c>
      <c r="J109" s="320">
        <f>I109*IF(N('ПРОМО'!F10)&gt;0,N('ПРОМО'!F10),N('ПРОМО'!H10))</f>
        <v>0</v>
      </c>
      <c r="K109" s="320">
        <f>I109*IF(N('ПРОМО'!G10)&gt;0,N('ПРОМО'!G10),N('ПРОМО'!H10))</f>
        <v>0</v>
      </c>
      <c r="L109" s="320">
        <f>N(L108)+(N(I109)&gt;0)</f>
        <v>0</v>
      </c>
    </row>
    <row r="110">
      <c r="A110" s="321" t="inlineStr">
        <is>
          <t xml:space="preserve">ПРОМО</t>
        </is>
      </c>
      <c r="B110" s="314" t="str">
        <f>'ПРОМО'!A11&amp;""</f>
        <v>Термостакан TITAN</v>
      </c>
      <c r="C110" s="315" t="str">
        <f>'ПРОМО'!C11&amp;""</f>
        <v>Термостакан TITAN, белый</v>
      </c>
      <c r="D110" s="316" t="str">
        <f>IF('ПРОМО'!I11="+","есть",IF('ПРОМО'!I11="-","нет",""))</f>
        <v>есть</v>
      </c>
      <c r="E110" s="317"/>
      <c r="F110" s="318">
        <f>IF(N('ПРОМО'!H11)&lt;=0,"по запросу",CHOOSE($K$3,IF(N('ПРОМО'!F11)&gt;0,N('ПРОМО'!F11),N('ПРОМО'!H11)),IF(N('ПРОМО'!G11)&gt;0,N('ПРОМО'!G11),N('ПРОМО'!H11)),N('ПРОМО'!H11)))</f>
        <v>400</v>
      </c>
      <c r="G110" s="319" t="str">
        <f>IF(I110&lt;=0,"",IF(ISNUMBER(F110),I110*F110,"по запросу"))</f>
        <v/>
      </c>
      <c r="H110" s="320">
        <f>N('ПРОМО'!J11)</f>
        <v>0</v>
      </c>
      <c r="I110" s="320">
        <f>IF(N(E110)&gt;0,N(E110),H110)</f>
        <v>0</v>
      </c>
      <c r="J110" s="320">
        <f>I110*IF(N('ПРОМО'!F11)&gt;0,N('ПРОМО'!F11),N('ПРОМО'!H11))</f>
        <v>0</v>
      </c>
      <c r="K110" s="320">
        <f>I110*IF(N('ПРОМО'!G11)&gt;0,N('ПРОМО'!G11),N('ПРОМО'!H11))</f>
        <v>0</v>
      </c>
      <c r="L110" s="320">
        <f>N(L109)+(N(I110)&gt;0)</f>
        <v>0</v>
      </c>
    </row>
    <row r="111">
      <c r="A111" s="321" t="inlineStr">
        <is>
          <t xml:space="preserve">ПРОМО</t>
        </is>
      </c>
      <c r="B111" s="314" t="str">
        <f>'ПРОМО'!A12&amp;""</f>
        <v>Ручка c логотипом TERMINATOR</v>
      </c>
      <c r="C111" s="315" t="str">
        <f>'ПРОМО'!C12&amp;""</f>
        <v>Ручка шариковая с логотипом TERMINATOR, цвета: красный, синий</v>
      </c>
      <c r="D111" s="316" t="str">
        <f>IF('ПРОМО'!I12="+","есть",IF('ПРОМО'!I12="-","нет",""))</f>
        <v>есть</v>
      </c>
      <c r="E111" s="317"/>
      <c r="F111" s="318">
        <f>IF(N('ПРОМО'!H12)&lt;=0,"по запросу",CHOOSE($K$3,IF(N('ПРОМО'!F12)&gt;0,N('ПРОМО'!F12),N('ПРОМО'!H12)),IF(N('ПРОМО'!G12)&gt;0,N('ПРОМО'!G12),N('ПРОМО'!H12)),N('ПРОМО'!H12)))</f>
        <v>70</v>
      </c>
      <c r="G111" s="319" t="str">
        <f>IF(I111&lt;=0,"",IF(ISNUMBER(F111),I111*F111,"по запросу"))</f>
        <v/>
      </c>
      <c r="H111" s="320">
        <f>N('ПРОМО'!J12)</f>
        <v>0</v>
      </c>
      <c r="I111" s="320">
        <f>IF(N(E111)&gt;0,N(E111),H111)</f>
        <v>0</v>
      </c>
      <c r="J111" s="320">
        <f>I111*IF(N('ПРОМО'!F12)&gt;0,N('ПРОМО'!F12),N('ПРОМО'!H12))</f>
        <v>0</v>
      </c>
      <c r="K111" s="320">
        <f>I111*IF(N('ПРОМО'!G12)&gt;0,N('ПРОМО'!G12),N('ПРОМО'!H12))</f>
        <v>0</v>
      </c>
      <c r="L111" s="320">
        <f>N(L110)+(N(I111)&gt;0)</f>
        <v>0</v>
      </c>
    </row>
    <row r="112">
      <c r="A112" s="321" t="inlineStr">
        <is>
          <t xml:space="preserve">ПРОМО</t>
        </is>
      </c>
      <c r="B112" s="314" t="str">
        <f>'ПРОМО'!A13&amp;""</f>
        <v>Ручка c логотипом TITAN</v>
      </c>
      <c r="C112" s="315" t="str">
        <f>'ПРОМО'!C13&amp;""</f>
        <v>Ручка шариковая с логотипом TITAN, цвет: золотистый</v>
      </c>
      <c r="D112" s="316" t="str">
        <f>IF('ПРОМО'!I13="+","есть",IF('ПРОМО'!I13="-","нет",""))</f>
        <v>есть</v>
      </c>
      <c r="E112" s="317"/>
      <c r="F112" s="318">
        <f>IF(N('ПРОМО'!H13)&lt;=0,"по запросу",CHOOSE($K$3,IF(N('ПРОМО'!F13)&gt;0,N('ПРОМО'!F13),N('ПРОМО'!H13)),IF(N('ПРОМО'!G13)&gt;0,N('ПРОМО'!G13),N('ПРОМО'!H13)),N('ПРОМО'!H13)))</f>
        <v>70</v>
      </c>
      <c r="G112" s="319" t="str">
        <f>IF(I112&lt;=0,"",IF(ISNUMBER(F112),I112*F112,"по запросу"))</f>
        <v/>
      </c>
      <c r="H112" s="320">
        <f>N('ПРОМО'!J13)</f>
        <v>0</v>
      </c>
      <c r="I112" s="320">
        <f>IF(N(E112)&gt;0,N(E112),H112)</f>
        <v>0</v>
      </c>
      <c r="J112" s="320">
        <f>I112*IF(N('ПРОМО'!F13)&gt;0,N('ПРОМО'!F13),N('ПРОМО'!H13))</f>
        <v>0</v>
      </c>
      <c r="K112" s="320">
        <f>I112*IF(N('ПРОМО'!G13)&gt;0,N('ПРОМО'!G13),N('ПРОМО'!H13))</f>
        <v>0</v>
      </c>
      <c r="L112" s="320">
        <f>N(L111)+(N(I112)&gt;0)</f>
        <v>0</v>
      </c>
    </row>
    <row r="113">
      <c r="A113" s="321" t="inlineStr">
        <is>
          <t xml:space="preserve">ПРОМО</t>
        </is>
      </c>
      <c r="B113" s="314" t="str">
        <f>'ПРОМО'!A14&amp;""</f>
        <v>Кружка с логотипом TERMINATOR</v>
      </c>
      <c r="C113" s="315" t="str">
        <f>'ПРОМО'!C14&amp;""</f>
        <v>Кружка с пробковой подставкой TERMINATOR</v>
      </c>
      <c r="D113" s="316" t="str">
        <f>IF('ПРОМО'!I14="+","есть",IF('ПРОМО'!I14="-","нет",""))</f>
        <v>есть</v>
      </c>
      <c r="E113" s="317"/>
      <c r="F113" s="318">
        <f>IF(N('ПРОМО'!H14)&lt;=0,"по запросу",CHOOSE($K$3,IF(N('ПРОМО'!F14)&gt;0,N('ПРОМО'!F14),N('ПРОМО'!H14)),IF(N('ПРОМО'!G14)&gt;0,N('ПРОМО'!G14),N('ПРОМО'!H14)),N('ПРОМО'!H14)))</f>
        <v>550</v>
      </c>
      <c r="G113" s="319" t="str">
        <f>IF(I113&lt;=0,"",IF(ISNUMBER(F113),I113*F113,"по запросу"))</f>
        <v/>
      </c>
      <c r="H113" s="320">
        <f>N('ПРОМО'!J14)</f>
        <v>0</v>
      </c>
      <c r="I113" s="320">
        <f>IF(N(E113)&gt;0,N(E113),H113)</f>
        <v>0</v>
      </c>
      <c r="J113" s="320">
        <f>I113*IF(N('ПРОМО'!F14)&gt;0,N('ПРОМО'!F14),N('ПРОМО'!H14))</f>
        <v>0</v>
      </c>
      <c r="K113" s="320">
        <f>I113*IF(N('ПРОМО'!G14)&gt;0,N('ПРОМО'!G14),N('ПРОМО'!H14))</f>
        <v>0</v>
      </c>
      <c r="L113" s="320">
        <f>N(L112)+(N(I113)&gt;0)</f>
        <v>0</v>
      </c>
    </row>
    <row r="114" ht="28" customHeight="1">
      <c r="A114" s="310" t="inlineStr">
        <is>
          <t xml:space="preserve">Провода</t>
        </is>
      </c>
      <c r="B114" s="310"/>
      <c r="C114" s="310"/>
      <c r="D114" s="310"/>
      <c r="E114" s="310"/>
      <c r="F114" s="310"/>
      <c r="G114" s="310"/>
      <c r="L114" s="320">
        <f>N(L113)+(N(I114)&gt;0)</f>
        <v>0</v>
      </c>
    </row>
    <row r="115" ht="20" customHeight="1">
      <c r="A115" s="321" t="inlineStr">
        <is>
          <t xml:space="preserve">Провода</t>
        </is>
      </c>
      <c r="B115" s="312" t="inlineStr">
        <is>
          <t xml:space="preserve">Провод монтажный двужильный(изоляция винил, красно-черный):</t>
        </is>
      </c>
      <c r="L115" s="320">
        <f>N(L114)+(N(I115)&gt;0)</f>
        <v>0</v>
      </c>
    </row>
    <row r="116" ht="20" customHeight="1">
      <c r="A116" s="321" t="inlineStr">
        <is>
          <t xml:space="preserve">Провода</t>
        </is>
      </c>
      <c r="B116" s="312" t="inlineStr">
        <is>
          <t xml:space="preserve">бухты 100 метров:</t>
        </is>
      </c>
      <c r="L116" s="320">
        <f>N(L115)+(N(I116)&gt;0)</f>
        <v>0</v>
      </c>
    </row>
    <row r="117">
      <c r="A117" s="321" t="inlineStr">
        <is>
          <t xml:space="preserve">Провода</t>
        </is>
      </c>
      <c r="B117" s="314" t="str">
        <f>'Провода'!A10&amp;""</f>
        <v>CM 0,35 (B)</v>
      </c>
      <c r="C117" s="315" t="str">
        <f>'Провода'!B10&amp;""</f>
        <v>100м, сечение 2*0,35мм², CCA</v>
      </c>
      <c r="D117" s="316" t="str">
        <f>IF('Провода'!H10="+","есть",IF('Провода'!H10="-","нет",""))</f>
        <v>есть</v>
      </c>
      <c r="E117" s="317"/>
      <c r="F117" s="318">
        <f>IF(N('Провода'!G10)&lt;=0,"по запросу",CHOOSE($K$3,IF(N('Провода'!E10)&gt;0,N('Провода'!E10),N('Провода'!G10)),IF(N('Провода'!F10)&gt;0,N('Провода'!F10),N('Провода'!G10)),N('Провода'!G10)))</f>
        <v>1853.1</v>
      </c>
      <c r="G117" s="319" t="str">
        <f>IF(I117&lt;=0,"",IF(ISNUMBER(F117),I117*F117,"по запросу"))</f>
        <v/>
      </c>
      <c r="H117" s="320">
        <f>N('Провода'!I10)</f>
        <v>0</v>
      </c>
      <c r="I117" s="320">
        <f>IF(N(E117)&gt;0,N(E117),H117)</f>
        <v>0</v>
      </c>
      <c r="J117" s="320">
        <f>I117*IF(N('Провода'!E10)&gt;0,N('Провода'!E10),N('Провода'!G10))</f>
        <v>0</v>
      </c>
      <c r="K117" s="320">
        <f>I117*IF(N('Провода'!F10)&gt;0,N('Провода'!F10),N('Провода'!G10))</f>
        <v>0</v>
      </c>
      <c r="L117" s="320">
        <f>N(L116)+(N(I117)&gt;0)</f>
        <v>0</v>
      </c>
    </row>
    <row r="118">
      <c r="A118" s="321" t="inlineStr">
        <is>
          <t xml:space="preserve">Провода</t>
        </is>
      </c>
      <c r="B118" s="314" t="str">
        <f>'Провода'!A11&amp;""</f>
        <v>CM 0,5</v>
      </c>
      <c r="C118" s="315" t="str">
        <f>'Провода'!B11&amp;""</f>
        <v>100м, сечение 2*0,5мм², Cu</v>
      </c>
      <c r="D118" s="316" t="str">
        <f>IF('Провода'!H11="+","есть",IF('Провода'!H11="-","нет",""))</f>
        <v>есть</v>
      </c>
      <c r="E118" s="317"/>
      <c r="F118" s="318">
        <f>IF(N('Провода'!G11)&lt;=0,"по запросу",CHOOSE($K$3,IF(N('Провода'!E11)&gt;0,N('Провода'!E11),N('Провода'!G11)),IF(N('Провода'!F11)&gt;0,N('Провода'!F11),N('Провода'!G11)),N('Провода'!G11)))</f>
        <v>6034.5</v>
      </c>
      <c r="G118" s="319" t="str">
        <f>IF(I118&lt;=0,"",IF(ISNUMBER(F118),I118*F118,"по запросу"))</f>
        <v/>
      </c>
      <c r="H118" s="320">
        <f>N('Провода'!I11)</f>
        <v>0</v>
      </c>
      <c r="I118" s="320">
        <f>IF(N(E118)&gt;0,N(E118),H118)</f>
        <v>0</v>
      </c>
      <c r="J118" s="320">
        <f>I118*IF(N('Провода'!E11)&gt;0,N('Провода'!E11),N('Провода'!G11))</f>
        <v>0</v>
      </c>
      <c r="K118" s="320">
        <f>I118*IF(N('Провода'!F11)&gt;0,N('Провода'!F11),N('Провода'!G11))</f>
        <v>0</v>
      </c>
      <c r="L118" s="320">
        <f>N(L117)+(N(I118)&gt;0)</f>
        <v>0</v>
      </c>
    </row>
    <row r="119">
      <c r="A119" s="321" t="inlineStr">
        <is>
          <t xml:space="preserve">Провода</t>
        </is>
      </c>
      <c r="B119" s="314" t="str">
        <f>'Провода'!A12&amp;""</f>
        <v>CM 0,5 (B)</v>
      </c>
      <c r="C119" s="315" t="str">
        <f>'Провода'!B12&amp;""</f>
        <v>100м, сечение 2*0,5мм², CCA</v>
      </c>
      <c r="D119" s="316" t="str">
        <f>IF('Провода'!H12="+","есть",IF('Провода'!H12="-","нет",""))</f>
        <v>есть</v>
      </c>
      <c r="E119" s="317"/>
      <c r="F119" s="318">
        <f>IF(N('Провода'!G12)&lt;=0,"по запросу",CHOOSE($K$3,IF(N('Провода'!E12)&gt;0,N('Провода'!E12),N('Провода'!G12)),IF(N('Провода'!F12)&gt;0,N('Провода'!F12),N('Провода'!G12)),N('Провода'!G12)))</f>
        <v>2068.6</v>
      </c>
      <c r="G119" s="319" t="str">
        <f>IF(I119&lt;=0,"",IF(ISNUMBER(F119),I119*F119,"по запросу"))</f>
        <v/>
      </c>
      <c r="H119" s="320">
        <f>N('Провода'!I12)</f>
        <v>0</v>
      </c>
      <c r="I119" s="320">
        <f>IF(N(E119)&gt;0,N(E119),H119)</f>
        <v>0</v>
      </c>
      <c r="J119" s="320">
        <f>I119*IF(N('Провода'!E12)&gt;0,N('Провода'!E12),N('Провода'!G12))</f>
        <v>0</v>
      </c>
      <c r="K119" s="320">
        <f>I119*IF(N('Провода'!F12)&gt;0,N('Провода'!F12),N('Провода'!G12))</f>
        <v>0</v>
      </c>
      <c r="L119" s="320">
        <f>N(L118)+(N(I119)&gt;0)</f>
        <v>0</v>
      </c>
    </row>
    <row r="120">
      <c r="A120" s="321" t="inlineStr">
        <is>
          <t xml:space="preserve">Провода</t>
        </is>
      </c>
      <c r="B120" s="314" t="str">
        <f>'Провода'!A13&amp;""</f>
        <v>CM 0,75</v>
      </c>
      <c r="C120" s="315" t="str">
        <f>'Провода'!B13&amp;""</f>
        <v>100м,сечение 2*0,75мм², Cu</v>
      </c>
      <c r="D120" s="316" t="str">
        <f>IF('Провода'!H13="+","есть",IF('Провода'!H13="-","нет",""))</f>
        <v>есть</v>
      </c>
      <c r="E120" s="317"/>
      <c r="F120" s="318">
        <f>IF(N('Провода'!G13)&lt;=0,"по запросу",CHOOSE($K$3,IF(N('Провода'!E13)&gt;0,N('Провода'!E13),N('Провода'!G13)),IF(N('Провода'!F13)&gt;0,N('Провода'!F13),N('Провода'!G13)),N('Провода'!G13)))</f>
        <v>8145.5</v>
      </c>
      <c r="G120" s="319" t="str">
        <f>IF(I120&lt;=0,"",IF(ISNUMBER(F120),I120*F120,"по запросу"))</f>
        <v/>
      </c>
      <c r="H120" s="320">
        <f>N('Провода'!I13)</f>
        <v>0</v>
      </c>
      <c r="I120" s="320">
        <f>IF(N(E120)&gt;0,N(E120),H120)</f>
        <v>0</v>
      </c>
      <c r="J120" s="320">
        <f>I120*IF(N('Провода'!E13)&gt;0,N('Провода'!E13),N('Провода'!G13))</f>
        <v>0</v>
      </c>
      <c r="K120" s="320">
        <f>I120*IF(N('Провода'!F13)&gt;0,N('Провода'!F13),N('Провода'!G13))</f>
        <v>0</v>
      </c>
      <c r="L120" s="320">
        <f>N(L119)+(N(I120)&gt;0)</f>
        <v>0</v>
      </c>
    </row>
    <row r="121">
      <c r="A121" s="321" t="inlineStr">
        <is>
          <t xml:space="preserve">Провода</t>
        </is>
      </c>
      <c r="B121" s="314" t="str">
        <f>'Провода'!A14&amp;""</f>
        <v>CM 0,75 (B)</v>
      </c>
      <c r="C121" s="315" t="str">
        <f>'Провода'!B14&amp;""</f>
        <v>100м,сечение 2*0,75мм², CCA</v>
      </c>
      <c r="D121" s="316" t="str">
        <f>IF('Провода'!H14="+","есть",IF('Провода'!H14="-","нет",""))</f>
        <v>есть</v>
      </c>
      <c r="E121" s="317"/>
      <c r="F121" s="318">
        <f>IF(N('Провода'!G14)&lt;=0,"по запросу",CHOOSE($K$3,IF(N('Провода'!E14)&gt;0,N('Провода'!E14),N('Провода'!G14)),IF(N('Провода'!F14)&gt;0,N('Провода'!F14),N('Провода'!G14)),N('Провода'!G14)))</f>
        <v>2811.6</v>
      </c>
      <c r="G121" s="319" t="str">
        <f>IF(I121&lt;=0,"",IF(ISNUMBER(F121),I121*F121,"по запросу"))</f>
        <v/>
      </c>
      <c r="H121" s="320">
        <f>N('Провода'!I14)</f>
        <v>0</v>
      </c>
      <c r="I121" s="320">
        <f>IF(N(E121)&gt;0,N(E121),H121)</f>
        <v>0</v>
      </c>
      <c r="J121" s="320">
        <f>I121*IF(N('Провода'!E14)&gt;0,N('Провода'!E14),N('Провода'!G14))</f>
        <v>0</v>
      </c>
      <c r="K121" s="320">
        <f>I121*IF(N('Провода'!F14)&gt;0,N('Провода'!F14),N('Провода'!G14))</f>
        <v>0</v>
      </c>
      <c r="L121" s="320">
        <f>N(L120)+(N(I121)&gt;0)</f>
        <v>0</v>
      </c>
    </row>
    <row r="122">
      <c r="A122" s="321" t="inlineStr">
        <is>
          <t xml:space="preserve">Провода</t>
        </is>
      </c>
      <c r="B122" s="314" t="str">
        <f>'Провода'!A15&amp;""</f>
        <v>CM 1,0</v>
      </c>
      <c r="C122" s="315" t="str">
        <f>'Провода'!B15&amp;""</f>
        <v>100м,сечение 2*1мм², Cu</v>
      </c>
      <c r="D122" s="316" t="str">
        <f>IF('Провода'!H15="+","есть",IF('Провода'!H15="-","нет",""))</f>
        <v>есть</v>
      </c>
      <c r="E122" s="317"/>
      <c r="F122" s="318">
        <f>IF(N('Провода'!G15)&lt;=0,"по запросу",CHOOSE($K$3,IF(N('Провода'!E15)&gt;0,N('Провода'!E15),N('Провода'!G15)),IF(N('Провода'!F15)&gt;0,N('Провода'!F15),N('Провода'!G15)),N('Провода'!G15)))</f>
        <v>10930.5</v>
      </c>
      <c r="G122" s="319" t="str">
        <f>IF(I122&lt;=0,"",IF(ISNUMBER(F122),I122*F122,"по запросу"))</f>
        <v/>
      </c>
      <c r="H122" s="320">
        <f>N('Провода'!I15)</f>
        <v>0</v>
      </c>
      <c r="I122" s="320">
        <f>IF(N(E122)&gt;0,N(E122),H122)</f>
        <v>0</v>
      </c>
      <c r="J122" s="320">
        <f>I122*IF(N('Провода'!E15)&gt;0,N('Провода'!E15),N('Провода'!G15))</f>
        <v>0</v>
      </c>
      <c r="K122" s="320">
        <f>I122*IF(N('Провода'!F15)&gt;0,N('Провода'!F15),N('Провода'!G15))</f>
        <v>0</v>
      </c>
      <c r="L122" s="320">
        <f>N(L121)+(N(I122)&gt;0)</f>
        <v>0</v>
      </c>
    </row>
    <row r="123">
      <c r="A123" s="321" t="inlineStr">
        <is>
          <t xml:space="preserve">Провода</t>
        </is>
      </c>
      <c r="B123" s="314" t="str">
        <f>'Провода'!A16&amp;""</f>
        <v>CM 1,0 (B)</v>
      </c>
      <c r="C123" s="315" t="str">
        <f>'Провода'!B16&amp;""</f>
        <v>100м,сечение 2*1мм², CCA</v>
      </c>
      <c r="D123" s="316" t="str">
        <f>IF('Провода'!H16="+","есть",IF('Провода'!H16="-","нет",""))</f>
        <v>нет</v>
      </c>
      <c r="E123" s="317"/>
      <c r="F123" s="318">
        <f>IF(N('Провода'!G16)&lt;=0,"по запросу",CHOOSE($K$3,IF(N('Провода'!E16)&gt;0,N('Провода'!E16),N('Провода'!G16)),IF(N('Провода'!F16)&gt;0,N('Провода'!F16),N('Провода'!G16)),N('Провода'!G16)))</f>
        <v>4134.1</v>
      </c>
      <c r="G123" s="319" t="str">
        <f>IF(I123&lt;=0,"",IF(ISNUMBER(F123),I123*F123,"по запросу"))</f>
        <v/>
      </c>
      <c r="H123" s="320">
        <f>N('Провода'!I16)</f>
        <v>0</v>
      </c>
      <c r="I123" s="320">
        <f>IF(N(E123)&gt;0,N(E123),H123)</f>
        <v>0</v>
      </c>
      <c r="J123" s="320">
        <f>I123*IF(N('Провода'!E16)&gt;0,N('Провода'!E16),N('Провода'!G16))</f>
        <v>0</v>
      </c>
      <c r="K123" s="320">
        <f>I123*IF(N('Провода'!F16)&gt;0,N('Провода'!F16),N('Провода'!G16))</f>
        <v>0</v>
      </c>
      <c r="L123" s="320">
        <f>N(L122)+(N(I123)&gt;0)</f>
        <v>0</v>
      </c>
    </row>
    <row r="124">
      <c r="A124" s="321" t="inlineStr">
        <is>
          <t xml:space="preserve">Провода</t>
        </is>
      </c>
      <c r="B124" s="314" t="str">
        <f>'Провода'!A17&amp;""</f>
        <v>CM 1,25</v>
      </c>
      <c r="C124" s="315" t="str">
        <f>'Провода'!B17&amp;""</f>
        <v>100м, сечение 2*1,25мм², Cu</v>
      </c>
      <c r="D124" s="316" t="str">
        <f>IF('Провода'!H17="+","есть",IF('Провода'!H17="-","нет",""))</f>
        <v>есть</v>
      </c>
      <c r="E124" s="317"/>
      <c r="F124" s="318">
        <f>IF(N('Провода'!G17)&lt;=0,"по запросу",CHOOSE($K$3,IF(N('Провода'!E17)&gt;0,N('Провода'!E17),N('Провода'!G17)),IF(N('Провода'!F17)&gt;0,N('Провода'!F17),N('Провода'!G17)),N('Провода'!G17)))</f>
        <v>14483.5</v>
      </c>
      <c r="G124" s="319" t="str">
        <f>IF(I124&lt;=0,"",IF(ISNUMBER(F124),I124*F124,"по запросу"))</f>
        <v/>
      </c>
      <c r="H124" s="320">
        <f>N('Провода'!I17)</f>
        <v>0</v>
      </c>
      <c r="I124" s="320">
        <f>IF(N(E124)&gt;0,N(E124),H124)</f>
        <v>0</v>
      </c>
      <c r="J124" s="320">
        <f>I124*IF(N('Провода'!E17)&gt;0,N('Провода'!E17),N('Провода'!G17))</f>
        <v>0</v>
      </c>
      <c r="K124" s="320">
        <f>I124*IF(N('Провода'!F17)&gt;0,N('Провода'!F17),N('Провода'!G17))</f>
        <v>0</v>
      </c>
      <c r="L124" s="320">
        <f>N(L123)+(N(I124)&gt;0)</f>
        <v>0</v>
      </c>
    </row>
    <row r="125">
      <c r="A125" s="321" t="inlineStr">
        <is>
          <t xml:space="preserve">Провода</t>
        </is>
      </c>
      <c r="B125" s="314" t="str">
        <f>'Провода'!A18&amp;""</f>
        <v>CM 1,25 (B)</v>
      </c>
      <c r="C125" s="315" t="str">
        <f>'Провода'!B18&amp;""</f>
        <v>100м,сечение 2*1,25мм², CCA</v>
      </c>
      <c r="D125" s="316" t="str">
        <f>IF('Провода'!H18="+","есть",IF('Провода'!H18="-","нет",""))</f>
        <v>есть</v>
      </c>
      <c r="E125" s="317"/>
      <c r="F125" s="318">
        <f>IF(N('Провода'!G18)&lt;=0,"по запросу",CHOOSE($K$3,IF(N('Провода'!E18)&gt;0,N('Провода'!E18),N('Провода'!G18)),IF(N('Провода'!F18)&gt;0,N('Провода'!F18),N('Провода'!G18)),N('Провода'!G18)))</f>
        <v>4322.7</v>
      </c>
      <c r="G125" s="319" t="str">
        <f>IF(I125&lt;=0,"",IF(ISNUMBER(F125),I125*F125,"по запросу"))</f>
        <v/>
      </c>
      <c r="H125" s="320">
        <f>N('Провода'!I18)</f>
        <v>0</v>
      </c>
      <c r="I125" s="320">
        <f>IF(N(E125)&gt;0,N(E125),H125)</f>
        <v>0</v>
      </c>
      <c r="J125" s="320">
        <f>I125*IF(N('Провода'!E18)&gt;0,N('Провода'!E18),N('Провода'!G18))</f>
        <v>0</v>
      </c>
      <c r="K125" s="320">
        <f>I125*IF(N('Провода'!F18)&gt;0,N('Провода'!F18),N('Провода'!G18))</f>
        <v>0</v>
      </c>
      <c r="L125" s="320">
        <f>N(L124)+(N(I125)&gt;0)</f>
        <v>0</v>
      </c>
    </row>
    <row r="126">
      <c r="A126" s="321" t="inlineStr">
        <is>
          <t xml:space="preserve">Провода</t>
        </is>
      </c>
      <c r="B126" s="314" t="str">
        <f>'Провода'!A19&amp;""</f>
        <v>CM 1,5 (B)</v>
      </c>
      <c r="C126" s="315" t="str">
        <f>'Провода'!B19&amp;""</f>
        <v>100м,сечение 2*1,5мм², CCA</v>
      </c>
      <c r="D126" s="316" t="str">
        <f>IF('Провода'!H19="+","есть",IF('Провода'!H19="-","нет",""))</f>
        <v>есть</v>
      </c>
      <c r="E126" s="317"/>
      <c r="F126" s="318">
        <f>IF(N('Провода'!G19)&lt;=0,"по запросу",CHOOSE($K$3,IF(N('Провода'!E19)&gt;0,N('Провода'!E19),N('Провода'!G19)),IF(N('Провода'!F19)&gt;0,N('Провода'!F19),N('Провода'!G19)),N('Провода'!G19)))</f>
        <v>5200.4</v>
      </c>
      <c r="G126" s="319" t="str">
        <f>IF(I126&lt;=0,"",IF(ISNUMBER(F126),I126*F126,"по запросу"))</f>
        <v/>
      </c>
      <c r="H126" s="320">
        <f>N('Провода'!I19)</f>
        <v>0</v>
      </c>
      <c r="I126" s="320">
        <f>IF(N(E126)&gt;0,N(E126),H126)</f>
        <v>0</v>
      </c>
      <c r="J126" s="320">
        <f>I126*IF(N('Провода'!E19)&gt;0,N('Провода'!E19),N('Провода'!G19))</f>
        <v>0</v>
      </c>
      <c r="K126" s="320">
        <f>I126*IF(N('Провода'!F19)&gt;0,N('Провода'!F19),N('Провода'!G19))</f>
        <v>0</v>
      </c>
      <c r="L126" s="320">
        <f>N(L125)+(N(I126)&gt;0)</f>
        <v>0</v>
      </c>
    </row>
    <row r="127">
      <c r="A127" s="321" t="inlineStr">
        <is>
          <t xml:space="preserve">Провода</t>
        </is>
      </c>
      <c r="B127" s="314" t="str">
        <f>'Провода'!A20&amp;""</f>
        <v>CM 2,0 (B)</v>
      </c>
      <c r="C127" s="315" t="str">
        <f>'Провода'!B20&amp;""</f>
        <v>100м, сечение 2*2,0мм², CCA</v>
      </c>
      <c r="D127" s="316" t="str">
        <f>IF('Провода'!H20="+","есть",IF('Провода'!H20="-","нет",""))</f>
        <v>есть</v>
      </c>
      <c r="E127" s="317"/>
      <c r="F127" s="318">
        <f>IF(N('Провода'!G20)&lt;=0,"по запросу",CHOOSE($K$3,IF(N('Провода'!E20)&gt;0,N('Провода'!E20),N('Провода'!G20)),IF(N('Провода'!F20)&gt;0,N('Провода'!F20),N('Провода'!G20)),N('Провода'!G20)))</f>
        <v>6641.4</v>
      </c>
      <c r="G127" s="319" t="str">
        <f>IF(I127&lt;=0,"",IF(ISNUMBER(F127),I127*F127,"по запросу"))</f>
        <v/>
      </c>
      <c r="H127" s="320">
        <f>N('Провода'!I20)</f>
        <v>0</v>
      </c>
      <c r="I127" s="320">
        <f>IF(N(E127)&gt;0,N(E127),H127)</f>
        <v>0</v>
      </c>
      <c r="J127" s="320">
        <f>I127*IF(N('Провода'!E20)&gt;0,N('Провода'!E20),N('Провода'!G20))</f>
        <v>0</v>
      </c>
      <c r="K127" s="320">
        <f>I127*IF(N('Провода'!F20)&gt;0,N('Провода'!F20),N('Провода'!G20))</f>
        <v>0</v>
      </c>
      <c r="L127" s="320">
        <f>N(L126)+(N(I127)&gt;0)</f>
        <v>0</v>
      </c>
    </row>
    <row r="128">
      <c r="A128" s="321" t="inlineStr">
        <is>
          <t xml:space="preserve">Провода</t>
        </is>
      </c>
      <c r="B128" s="314" t="str">
        <f>'Провода'!A21&amp;""</f>
        <v>CM 2,5 (B)</v>
      </c>
      <c r="C128" s="315" t="str">
        <f>'Провода'!B21&amp;""</f>
        <v>100м, сечение 2*2,5мм², CCA</v>
      </c>
      <c r="D128" s="316" t="str">
        <f>IF('Провода'!H21="+","есть",IF('Провода'!H21="-","нет",""))</f>
        <v>есть</v>
      </c>
      <c r="E128" s="317"/>
      <c r="F128" s="318">
        <f>IF(N('Провода'!G21)&lt;=0,"по запросу",CHOOSE($K$3,IF(N('Провода'!E21)&gt;0,N('Провода'!E21),N('Провода'!G21)),IF(N('Провода'!F21)&gt;0,N('Провода'!F21),N('Провода'!G21)),N('Провода'!G21)))</f>
        <v>7634.7</v>
      </c>
      <c r="G128" s="319" t="str">
        <f>IF(I128&lt;=0,"",IF(ISNUMBER(F128),I128*F128,"по запросу"))</f>
        <v/>
      </c>
      <c r="H128" s="320">
        <f>N('Провода'!I21)</f>
        <v>0</v>
      </c>
      <c r="I128" s="320">
        <f>IF(N(E128)&gt;0,N(E128),H128)</f>
        <v>0</v>
      </c>
      <c r="J128" s="320">
        <f>I128*IF(N('Провода'!E21)&gt;0,N('Провода'!E21),N('Провода'!G21))</f>
        <v>0</v>
      </c>
      <c r="K128" s="320">
        <f>I128*IF(N('Провода'!F21)&gt;0,N('Провода'!F21),N('Провода'!G21))</f>
        <v>0</v>
      </c>
      <c r="L128" s="320">
        <f>N(L127)+(N(I128)&gt;0)</f>
        <v>0</v>
      </c>
    </row>
    <row r="129">
      <c r="A129" s="321" t="inlineStr">
        <is>
          <t xml:space="preserve">Провода</t>
        </is>
      </c>
      <c r="B129" s="314" t="str">
        <f>'Провода'!A22&amp;""</f>
        <v>CM 4,0 (B)</v>
      </c>
      <c r="C129" s="315" t="str">
        <f>'Провода'!B22&amp;""</f>
        <v>100м, сечение 2*4,0мм², CCA</v>
      </c>
      <c r="D129" s="316" t="str">
        <f>IF('Провода'!H22="+","есть",IF('Провода'!H22="-","нет",""))</f>
        <v>есть</v>
      </c>
      <c r="E129" s="317"/>
      <c r="F129" s="318">
        <f>IF(N('Провода'!G22)&lt;=0,"по запросу",CHOOSE($K$3,IF(N('Провода'!E22)&gt;0,N('Провода'!E22),N('Провода'!G22)),IF(N('Провода'!F22)&gt;0,N('Провода'!F22),N('Провода'!G22)),N('Провода'!G22)))</f>
        <v>12270.3</v>
      </c>
      <c r="G129" s="319" t="str">
        <f>IF(I129&lt;=0,"",IF(ISNUMBER(F129),I129*F129,"по запросу"))</f>
        <v/>
      </c>
      <c r="H129" s="320">
        <f>N('Провода'!I22)</f>
        <v>0</v>
      </c>
      <c r="I129" s="320">
        <f>IF(N(E129)&gt;0,N(E129),H129)</f>
        <v>0</v>
      </c>
      <c r="J129" s="320">
        <f>I129*IF(N('Провода'!E22)&gt;0,N('Провода'!E22),N('Провода'!G22))</f>
        <v>0</v>
      </c>
      <c r="K129" s="320">
        <f>I129*IF(N('Провода'!F22)&gt;0,N('Провода'!F22),N('Провода'!G22))</f>
        <v>0</v>
      </c>
      <c r="L129" s="320">
        <f>N(L128)+(N(I129)&gt;0)</f>
        <v>0</v>
      </c>
    </row>
    <row r="130" ht="20" customHeight="1">
      <c r="A130" s="321" t="inlineStr">
        <is>
          <t xml:space="preserve">Провода</t>
        </is>
      </c>
      <c r="B130" s="312" t="inlineStr">
        <is>
          <t xml:space="preserve">Кабель монтажный двужильный в двойной изоляции (винил, внешний - черный, цвет оcновной изоляции: красно/черный):</t>
        </is>
      </c>
      <c r="L130" s="320">
        <f>N(L129)+(N(I130)&gt;0)</f>
        <v>0</v>
      </c>
    </row>
    <row r="131">
      <c r="A131" s="321" t="inlineStr">
        <is>
          <t xml:space="preserve">Провода</t>
        </is>
      </c>
      <c r="B131" s="314" t="str">
        <f>'Провода'!A24&amp;""</f>
        <v>PC-2 (B)</v>
      </c>
      <c r="C131" s="315" t="str">
        <f>'Провода'!B24&amp;""</f>
        <v>100м,сечение 2*0,75мм², CCA</v>
      </c>
      <c r="D131" s="316" t="str">
        <f>IF('Провода'!H24="+","есть",IF('Провода'!H24="-","нет",""))</f>
        <v>есть</v>
      </c>
      <c r="E131" s="317"/>
      <c r="F131" s="318">
        <f>IF(N('Провода'!G24)&lt;=0,"по запросу",CHOOSE($K$3,IF(N('Провода'!E24)&gt;0,N('Провода'!E24),N('Провода'!G24)),IF(N('Провода'!F24)&gt;0,N('Провода'!F24),N('Провода'!G24)),N('Провода'!G24)))</f>
        <v>5162.7</v>
      </c>
      <c r="G131" s="319" t="str">
        <f>IF(I131&lt;=0,"",IF(ISNUMBER(F131),I131*F131,"по запросу"))</f>
        <v/>
      </c>
      <c r="H131" s="320">
        <f>N('Провода'!I24)</f>
        <v>0</v>
      </c>
      <c r="I131" s="320">
        <f>IF(N(E131)&gt;0,N(E131),H131)</f>
        <v>0</v>
      </c>
      <c r="J131" s="320">
        <f>I131*IF(N('Провода'!E24)&gt;0,N('Провода'!E24),N('Провода'!G24))</f>
        <v>0</v>
      </c>
      <c r="K131" s="320">
        <f>I131*IF(N('Провода'!F24)&gt;0,N('Провода'!F24),N('Провода'!G24))</f>
        <v>0</v>
      </c>
      <c r="L131" s="320">
        <f>N(L130)+(N(I131)&gt;0)</f>
        <v>0</v>
      </c>
    </row>
    <row r="132">
      <c r="A132" s="321" t="inlineStr">
        <is>
          <t xml:space="preserve">Провода</t>
        </is>
      </c>
      <c r="B132" s="314" t="str">
        <f>'Провода'!A25&amp;""</f>
        <v>PC-3 (B)</v>
      </c>
      <c r="C132" s="315" t="str">
        <f>'Провода'!B25&amp;""</f>
        <v>100м,сечение 2*1,0мм², CCA</v>
      </c>
      <c r="D132" s="316" t="str">
        <f>IF('Провода'!H25="+","есть",IF('Провода'!H25="-","нет",""))</f>
        <v>нет</v>
      </c>
      <c r="E132" s="317"/>
      <c r="F132" s="318">
        <f>IF(N('Провода'!G25)&lt;=0,"по запросу",CHOOSE($K$3,IF(N('Провода'!E25)&gt;0,N('Провода'!E25),N('Провода'!G25)),IF(N('Провода'!F25)&gt;0,N('Провода'!F25),N('Провода'!G25)),N('Провода'!G25)))</f>
        <v>7586.7</v>
      </c>
      <c r="G132" s="319" t="str">
        <f>IF(I132&lt;=0,"",IF(ISNUMBER(F132),I132*F132,"по запросу"))</f>
        <v/>
      </c>
      <c r="H132" s="320">
        <f>N('Провода'!I25)</f>
        <v>0</v>
      </c>
      <c r="I132" s="320">
        <f>IF(N(E132)&gt;0,N(E132),H132)</f>
        <v>0</v>
      </c>
      <c r="J132" s="320">
        <f>I132*IF(N('Провода'!E25)&gt;0,N('Провода'!E25),N('Провода'!G25))</f>
        <v>0</v>
      </c>
      <c r="K132" s="320">
        <f>I132*IF(N('Провода'!F25)&gt;0,N('Провода'!F25),N('Провода'!G25))</f>
        <v>0</v>
      </c>
      <c r="L132" s="320">
        <f>N(L131)+(N(I132)&gt;0)</f>
        <v>0</v>
      </c>
    </row>
    <row r="133">
      <c r="A133" s="321" t="inlineStr">
        <is>
          <t xml:space="preserve">Провода</t>
        </is>
      </c>
      <c r="B133" s="314" t="str">
        <f>'Провода'!A26&amp;""</f>
        <v>PC-4 (B)</v>
      </c>
      <c r="C133" s="315" t="str">
        <f>'Провода'!B26&amp;""</f>
        <v>100м,сечение 2*1,5мм², CCA</v>
      </c>
      <c r="D133" s="316" t="str">
        <f>IF('Провода'!H26="+","есть",IF('Провода'!H26="-","нет",""))</f>
        <v>нет</v>
      </c>
      <c r="E133" s="317"/>
      <c r="F133" s="318">
        <f>IF(N('Провода'!G26)&lt;=0,"по запросу",CHOOSE($K$3,IF(N('Провода'!E26)&gt;0,N('Провода'!E26),N('Провода'!G26)),IF(N('Провода'!F26)&gt;0,N('Провода'!F26),N('Провода'!G26)),N('Провода'!G26)))</f>
        <v>9548.2</v>
      </c>
      <c r="G133" s="319" t="str">
        <f>IF(I133&lt;=0,"",IF(ISNUMBER(F133),I133*F133,"по запросу"))</f>
        <v/>
      </c>
      <c r="H133" s="320">
        <f>N('Провода'!I26)</f>
        <v>0</v>
      </c>
      <c r="I133" s="320">
        <f>IF(N(E133)&gt;0,N(E133),H133)</f>
        <v>0</v>
      </c>
      <c r="J133" s="320">
        <f>I133*IF(N('Провода'!E26)&gt;0,N('Провода'!E26),N('Провода'!G26))</f>
        <v>0</v>
      </c>
      <c r="K133" s="320">
        <f>I133*IF(N('Провода'!F26)&gt;0,N('Провода'!F26),N('Провода'!G26))</f>
        <v>0</v>
      </c>
      <c r="L133" s="320">
        <f>N(L132)+(N(I133)&gt;0)</f>
        <v>0</v>
      </c>
    </row>
    <row r="134" ht="20" customHeight="1">
      <c r="A134" s="321" t="inlineStr">
        <is>
          <t xml:space="preserve">Провода</t>
        </is>
      </c>
      <c r="B134" s="312" t="inlineStr">
        <is>
          <t xml:space="preserve">Провод монтажный многожильный (изоляция винил):</t>
        </is>
      </c>
      <c r="L134" s="320">
        <f>N(L133)+(N(I134)&gt;0)</f>
        <v>0</v>
      </c>
    </row>
    <row r="135" ht="20" customHeight="1">
      <c r="A135" s="321" t="inlineStr">
        <is>
          <t xml:space="preserve">Провода</t>
        </is>
      </c>
      <c r="B135" s="312" t="inlineStr">
        <is>
          <t xml:space="preserve">бухты 50 метров:</t>
        </is>
      </c>
      <c r="L135" s="320">
        <f>N(L134)+(N(I135)&gt;0)</f>
        <v>0</v>
      </c>
    </row>
    <row r="136">
      <c r="A136" s="321" t="inlineStr">
        <is>
          <t xml:space="preserve">Провода</t>
        </is>
      </c>
      <c r="B136" s="314" t="str">
        <f>'Провода'!A29&amp;""</f>
        <v>PM 0,75 7-Pin 50м</v>
      </c>
      <c r="C136" s="315" t="str">
        <f>'Провода'!B29&amp;""</f>
        <v>50м, сечение 0,75мм², Cu; цвета изоляции жил: красный, черный, желтый, серый, белый, синий, зеленый</v>
      </c>
      <c r="D136" s="316" t="str">
        <f>IF('Провода'!H29="+","есть",IF('Провода'!H29="-","нет",""))</f>
        <v>нет</v>
      </c>
      <c r="E136" s="317"/>
      <c r="F136" s="318">
        <f>IF(N('Провода'!G29)&lt;=0,"по запросу",CHOOSE($K$3,IF(N('Провода'!E29)&gt;0,N('Провода'!E29),N('Провода'!G29)),IF(N('Провода'!F29)&gt;0,N('Провода'!F29),N('Провода'!G29)),N('Провода'!G29)))</f>
        <v>16136.2</v>
      </c>
      <c r="G136" s="319" t="str">
        <f>IF(I136&lt;=0,"",IF(ISNUMBER(F136),I136*F136,"по запросу"))</f>
        <v/>
      </c>
      <c r="H136" s="320">
        <f>N('Провода'!I29)</f>
        <v>0</v>
      </c>
      <c r="I136" s="320">
        <f>IF(N(E136)&gt;0,N(E136),H136)</f>
        <v>0</v>
      </c>
      <c r="J136" s="320">
        <f>I136*IF(N('Провода'!E29)&gt;0,N('Провода'!E29),N('Провода'!G29))</f>
        <v>0</v>
      </c>
      <c r="K136" s="320">
        <f>I136*IF(N('Провода'!F29)&gt;0,N('Провода'!F29),N('Провода'!G29))</f>
        <v>0</v>
      </c>
      <c r="L136" s="320">
        <f>N(L135)+(N(I136)&gt;0)</f>
        <v>0</v>
      </c>
    </row>
    <row r="137">
      <c r="A137" s="321" t="inlineStr">
        <is>
          <t xml:space="preserve">Провода</t>
        </is>
      </c>
      <c r="B137" s="314" t="str">
        <f>'Провода'!A30&amp;""</f>
        <v>PM 1,25 7-Pin 50м</v>
      </c>
      <c r="C137" s="315" t="str">
        <f>'Провода'!B30&amp;""</f>
        <v>50м, сечение 1,25мм², Cu; цвета изоляции жил: красный, черный, желтый, серый, белый, синий, зеленый</v>
      </c>
      <c r="D137" s="316" t="str">
        <f>IF('Провода'!H30="+","есть",IF('Провода'!H30="-","нет",""))</f>
        <v>нет</v>
      </c>
      <c r="E137" s="317"/>
      <c r="F137" s="318">
        <f>IF(N('Провода'!G30)&lt;=0,"по запросу",CHOOSE($K$3,IF(N('Провода'!E30)&gt;0,N('Провода'!E30),N('Провода'!G30)),IF(N('Провода'!F30)&gt;0,N('Провода'!F30),N('Провода'!G30)),N('Провода'!G30)))</f>
        <v>25297</v>
      </c>
      <c r="G137" s="319" t="str">
        <f>IF(I137&lt;=0,"",IF(ISNUMBER(F137),I137*F137,"по запросу"))</f>
        <v/>
      </c>
      <c r="H137" s="320">
        <f>N('Провода'!I30)</f>
        <v>0</v>
      </c>
      <c r="I137" s="320">
        <f>IF(N(E137)&gt;0,N(E137),H137)</f>
        <v>0</v>
      </c>
      <c r="J137" s="320">
        <f>I137*IF(N('Провода'!E30)&gt;0,N('Провода'!E30),N('Провода'!G30))</f>
        <v>0</v>
      </c>
      <c r="K137" s="320">
        <f>I137*IF(N('Провода'!F30)&gt;0,N('Провода'!F30),N('Провода'!G30))</f>
        <v>0</v>
      </c>
      <c r="L137" s="320">
        <f>N(L136)+(N(I137)&gt;0)</f>
        <v>0</v>
      </c>
    </row>
    <row r="138" ht="20" customHeight="1">
      <c r="A138" s="321" t="inlineStr">
        <is>
          <t xml:space="preserve">Провода</t>
        </is>
      </c>
      <c r="B138" s="312" t="inlineStr">
        <is>
          <t xml:space="preserve">бухты 100 метров:</t>
        </is>
      </c>
      <c r="L138" s="320">
        <f>N(L137)+(N(I138)&gt;0)</f>
        <v>0</v>
      </c>
    </row>
    <row r="139">
      <c r="A139" s="321" t="inlineStr">
        <is>
          <t xml:space="preserve">Провода</t>
        </is>
      </c>
      <c r="B139" s="314" t="str">
        <f>'Провода'!A32&amp;""</f>
        <v>PM 0,35 5-Pin </v>
      </c>
      <c r="C139" s="315" t="str">
        <f>'Провода'!B32&amp;""</f>
        <v>100м, сечение 0,35мм², Cu; цвета изоляции жил: красный, черный, желтый, серый, белый</v>
      </c>
      <c r="D139" s="316" t="str">
        <f>IF('Провода'!H32="+","есть",IF('Провода'!H32="-","нет",""))</f>
        <v>нет</v>
      </c>
      <c r="E139" s="317"/>
      <c r="F139" s="318">
        <f>IF(N('Провода'!G32)&lt;=0,"по запросу",CHOOSE($K$3,IF(N('Провода'!E32)&gt;0,N('Провода'!E32),N('Провода'!G32)),IF(N('Провода'!F32)&gt;0,N('Провода'!F32),N('Провода'!G32)),N('Провода'!G32)))</f>
        <v>9918</v>
      </c>
      <c r="G139" s="319" t="str">
        <f>IF(I139&lt;=0,"",IF(ISNUMBER(F139),I139*F139,"по запросу"))</f>
        <v/>
      </c>
      <c r="H139" s="320">
        <f>N('Провода'!I32)</f>
        <v>0</v>
      </c>
      <c r="I139" s="320">
        <f>IF(N(E139)&gt;0,N(E139),H139)</f>
        <v>0</v>
      </c>
      <c r="J139" s="320">
        <f>I139*IF(N('Провода'!E32)&gt;0,N('Провода'!E32),N('Провода'!G32))</f>
        <v>0</v>
      </c>
      <c r="K139" s="320">
        <f>I139*IF(N('Провода'!F32)&gt;0,N('Провода'!F32),N('Провода'!G32))</f>
        <v>0</v>
      </c>
      <c r="L139" s="320">
        <f>N(L138)+(N(I139)&gt;0)</f>
        <v>0</v>
      </c>
    </row>
    <row r="140">
      <c r="A140" s="321" t="inlineStr">
        <is>
          <t xml:space="preserve">Провода</t>
        </is>
      </c>
      <c r="B140" s="314" t="str">
        <f>'Провода'!A33&amp;""</f>
        <v>PM 0,35 7-Pin </v>
      </c>
      <c r="C140" s="315" t="str">
        <f>'Провода'!B33&amp;""</f>
        <v>100м, сечение 0,35мм², Cu; цвета изоляции жил: красный, черный, желтый, серый, белый, синий, зеленый</v>
      </c>
      <c r="D140" s="316" t="str">
        <f>IF('Провода'!H33="+","есть",IF('Провода'!H33="-","нет",""))</f>
        <v>есть</v>
      </c>
      <c r="E140" s="317"/>
      <c r="F140" s="318">
        <f>IF(N('Провода'!G33)&lt;=0,"по запросу",CHOOSE($K$3,IF(N('Провода'!E33)&gt;0,N('Провода'!E33),N('Провода'!G33)),IF(N('Провода'!F33)&gt;0,N('Провода'!F33),N('Провода'!G33)),N('Провода'!G33)))</f>
        <v>17058.2</v>
      </c>
      <c r="G140" s="319" t="str">
        <f>IF(I140&lt;=0,"",IF(ISNUMBER(F140),I140*F140,"по запросу"))</f>
        <v/>
      </c>
      <c r="H140" s="320">
        <f>N('Провода'!I33)</f>
        <v>0</v>
      </c>
      <c r="I140" s="320">
        <f>IF(N(E140)&gt;0,N(E140),H140)</f>
        <v>0</v>
      </c>
      <c r="J140" s="320">
        <f>I140*IF(N('Провода'!E33)&gt;0,N('Провода'!E33),N('Провода'!G33))</f>
        <v>0</v>
      </c>
      <c r="K140" s="320">
        <f>I140*IF(N('Провода'!F33)&gt;0,N('Провода'!F33),N('Провода'!G33))</f>
        <v>0</v>
      </c>
      <c r="L140" s="320">
        <f>N(L139)+(N(I140)&gt;0)</f>
        <v>0</v>
      </c>
    </row>
    <row r="141" ht="28" customHeight="1">
      <c r="A141" s="310" t="inlineStr">
        <is>
          <t xml:space="preserve">Провода цвета</t>
        </is>
      </c>
      <c r="B141" s="310"/>
      <c r="C141" s="310"/>
      <c r="D141" s="310"/>
      <c r="E141" s="310"/>
      <c r="F141" s="310"/>
      <c r="G141" s="310"/>
      <c r="L141" s="320">
        <f>N(L140)+(N(I141)&gt;0)</f>
        <v>0</v>
      </c>
    </row>
    <row r="142" ht="24" customHeight="1">
      <c r="A142" s="321" t="inlineStr">
        <is>
          <t xml:space="preserve">Провода цвета</t>
        </is>
      </c>
      <c r="B142" s="311" t="inlineStr">
        <is>
          <t xml:space="preserve">ПРОВОДА</t>
        </is>
      </c>
      <c r="L142" s="320">
        <f>N(L141)+(N(I142)&gt;0)</f>
        <v>0</v>
      </c>
    </row>
    <row r="143" ht="20" customHeight="1">
      <c r="A143" s="321" t="inlineStr">
        <is>
          <t xml:space="preserve">Провода цвета</t>
        </is>
      </c>
      <c r="B143" s="312" t="inlineStr">
        <is>
          <t xml:space="preserve">Провод монтажный многожильный (изоляция винил):</t>
        </is>
      </c>
      <c r="L143" s="320">
        <f>N(L142)+(N(I143)&gt;0)</f>
        <v>0</v>
      </c>
    </row>
    <row r="144" ht="20" customHeight="1">
      <c r="A144" s="321" t="inlineStr">
        <is>
          <t xml:space="preserve">Провода цвета</t>
        </is>
      </c>
      <c r="B144" s="312" t="inlineStr">
        <is>
          <t xml:space="preserve">бухты 100 метров:</t>
        </is>
      </c>
      <c r="L144" s="320">
        <f>N(L143)+(N(I144)&gt;0)</f>
        <v>0</v>
      </c>
    </row>
    <row r="145">
      <c r="A145" s="321" t="inlineStr">
        <is>
          <t xml:space="preserve">Провода цвета</t>
        </is>
      </c>
      <c r="B145" s="314" t="str">
        <f>'Провода цвета'!A10&amp;""</f>
        <v>PM 0,35 (B) красн.</v>
      </c>
      <c r="C145" s="315" t="str">
        <f>'Провода цвета'!B10&amp;""</f>
        <v>100м, сечение 0,35мм², CCA; красный</v>
      </c>
      <c r="D145" s="316" t="str">
        <f>IF('Провода цвета'!H10="+","есть",IF('Провода цвета'!H10="-","нет",""))</f>
        <v>есть</v>
      </c>
      <c r="E145" s="317"/>
      <c r="F145" s="318">
        <f>IF(N('Провода цвета'!G10)&lt;=0,"по запросу",CHOOSE($K$3,IF(N('Провода цвета'!E10)&gt;0,N('Провода цвета'!E10),N('Провода цвета'!G10)),IF(N('Провода цвета'!F10)&gt;0,N('Провода цвета'!F10),N('Провода цвета'!G10)),N('Провода цвета'!G10)))</f>
        <v>978.3</v>
      </c>
      <c r="G145" s="319" t="str">
        <f>IF(I145&lt;=0,"",IF(ISNUMBER(F145),I145*F145,"по запросу"))</f>
        <v/>
      </c>
      <c r="H145" s="320">
        <f>N('Провода цвета'!I10)</f>
        <v>0</v>
      </c>
      <c r="I145" s="320">
        <f>IF(N(E145)&gt;0,N(E145),H145)</f>
        <v>0</v>
      </c>
      <c r="J145" s="320">
        <f>I145*IF(N('Провода цвета'!E10)&gt;0,N('Провода цвета'!E10),N('Провода цвета'!G10))</f>
        <v>0</v>
      </c>
      <c r="K145" s="320">
        <f>I145*IF(N('Провода цвета'!F10)&gt;0,N('Провода цвета'!F10),N('Провода цвета'!G10))</f>
        <v>0</v>
      </c>
      <c r="L145" s="320">
        <f>N(L144)+(N(I145)&gt;0)</f>
        <v>0</v>
      </c>
    </row>
    <row r="146">
      <c r="A146" s="321" t="inlineStr">
        <is>
          <t xml:space="preserve">Провода цвета</t>
        </is>
      </c>
      <c r="B146" s="314" t="str">
        <f>'Провода цвета'!A11&amp;""</f>
        <v>PM 0,35 (B) оранж.</v>
      </c>
      <c r="C146" s="315" t="str">
        <f>'Провода цвета'!B11&amp;""</f>
        <v>100м, сечение 0,35мм², CCA; оранжевый</v>
      </c>
      <c r="D146" s="316" t="str">
        <f>IF('Провода цвета'!H11="+","есть",IF('Провода цвета'!H11="-","нет",""))</f>
        <v>есть</v>
      </c>
      <c r="E146" s="317"/>
      <c r="F146" s="318">
        <f>IF(N('Провода цвета'!G11)&lt;=0,"по запросу",CHOOSE($K$3,IF(N('Провода цвета'!E11)&gt;0,N('Провода цвета'!E11),N('Провода цвета'!G11)),IF(N('Провода цвета'!F11)&gt;0,N('Провода цвета'!F11),N('Провода цвета'!G11)),N('Провода цвета'!G11)))</f>
        <v>978.3</v>
      </c>
      <c r="G146" s="319" t="str">
        <f>IF(I146&lt;=0,"",IF(ISNUMBER(F146),I146*F146,"по запросу"))</f>
        <v/>
      </c>
      <c r="H146" s="320">
        <f>N('Провода цвета'!I11)</f>
        <v>0</v>
      </c>
      <c r="I146" s="320">
        <f>IF(N(E146)&gt;0,N(E146),H146)</f>
        <v>0</v>
      </c>
      <c r="J146" s="320">
        <f>I146*IF(N('Провода цвета'!E11)&gt;0,N('Провода цвета'!E11),N('Провода цвета'!G11))</f>
        <v>0</v>
      </c>
      <c r="K146" s="320">
        <f>I146*IF(N('Провода цвета'!F11)&gt;0,N('Провода цвета'!F11),N('Провода цвета'!G11))</f>
        <v>0</v>
      </c>
      <c r="L146" s="320">
        <f>N(L145)+(N(I146)&gt;0)</f>
        <v>0</v>
      </c>
    </row>
    <row r="147">
      <c r="A147" s="321" t="inlineStr">
        <is>
          <t xml:space="preserve">Провода цвета</t>
        </is>
      </c>
      <c r="B147" s="314" t="str">
        <f>'Провода цвета'!A12&amp;""</f>
        <v>PM 0,35 (B) бел.</v>
      </c>
      <c r="C147" s="315" t="str">
        <f>'Провода цвета'!B12&amp;""</f>
        <v>100м, сечение 0,35мм², CCA; белый</v>
      </c>
      <c r="D147" s="316" t="str">
        <f>IF('Провода цвета'!H12="+","есть",IF('Провода цвета'!H12="-","нет",""))</f>
        <v>есть</v>
      </c>
      <c r="E147" s="317"/>
      <c r="F147" s="318">
        <f>IF(N('Провода цвета'!G12)&lt;=0,"по запросу",CHOOSE($K$3,IF(N('Провода цвета'!E12)&gt;0,N('Провода цвета'!E12),N('Провода цвета'!G12)),IF(N('Провода цвета'!F12)&gt;0,N('Провода цвета'!F12),N('Провода цвета'!G12)),N('Провода цвета'!G12)))</f>
        <v>978.3</v>
      </c>
      <c r="G147" s="319" t="str">
        <f>IF(I147&lt;=0,"",IF(ISNUMBER(F147),I147*F147,"по запросу"))</f>
        <v/>
      </c>
      <c r="H147" s="320">
        <f>N('Провода цвета'!I12)</f>
        <v>0</v>
      </c>
      <c r="I147" s="320">
        <f>IF(N(E147)&gt;0,N(E147),H147)</f>
        <v>0</v>
      </c>
      <c r="J147" s="320">
        <f>I147*IF(N('Провода цвета'!E12)&gt;0,N('Провода цвета'!E12),N('Провода цвета'!G12))</f>
        <v>0</v>
      </c>
      <c r="K147" s="320">
        <f>I147*IF(N('Провода цвета'!F12)&gt;0,N('Провода цвета'!F12),N('Провода цвета'!G12))</f>
        <v>0</v>
      </c>
      <c r="L147" s="320">
        <f>N(L146)+(N(I147)&gt;0)</f>
        <v>0</v>
      </c>
    </row>
    <row r="148">
      <c r="A148" s="321" t="inlineStr">
        <is>
          <t xml:space="preserve">Провода цвета</t>
        </is>
      </c>
      <c r="B148" s="314" t="str">
        <f>'Провода цвета'!A13&amp;""</f>
        <v>PM 0,35 (B) зелен.</v>
      </c>
      <c r="C148" s="315" t="str">
        <f>'Провода цвета'!B13&amp;""</f>
        <v>100м, сечение 0,35мм², CCA; зеленый</v>
      </c>
      <c r="D148" s="316" t="str">
        <f>IF('Провода цвета'!H13="+","есть",IF('Провода цвета'!H13="-","нет",""))</f>
        <v>есть</v>
      </c>
      <c r="E148" s="317"/>
      <c r="F148" s="318">
        <f>IF(N('Провода цвета'!G13)&lt;=0,"по запросу",CHOOSE($K$3,IF(N('Провода цвета'!E13)&gt;0,N('Провода цвета'!E13),N('Провода цвета'!G13)),IF(N('Провода цвета'!F13)&gt;0,N('Провода цвета'!F13),N('Провода цвета'!G13)),N('Провода цвета'!G13)))</f>
        <v>978.3</v>
      </c>
      <c r="G148" s="319" t="str">
        <f>IF(I148&lt;=0,"",IF(ISNUMBER(F148),I148*F148,"по запросу"))</f>
        <v/>
      </c>
      <c r="H148" s="320">
        <f>N('Провода цвета'!I13)</f>
        <v>0</v>
      </c>
      <c r="I148" s="320">
        <f>IF(N(E148)&gt;0,N(E148),H148)</f>
        <v>0</v>
      </c>
      <c r="J148" s="320">
        <f>I148*IF(N('Провода цвета'!E13)&gt;0,N('Провода цвета'!E13),N('Провода цвета'!G13))</f>
        <v>0</v>
      </c>
      <c r="K148" s="320">
        <f>I148*IF(N('Провода цвета'!F13)&gt;0,N('Провода цвета'!F13),N('Провода цвета'!G13))</f>
        <v>0</v>
      </c>
      <c r="L148" s="320">
        <f>N(L147)+(N(I148)&gt;0)</f>
        <v>0</v>
      </c>
    </row>
    <row r="149">
      <c r="A149" s="321" t="inlineStr">
        <is>
          <t xml:space="preserve">Провода цвета</t>
        </is>
      </c>
      <c r="B149" s="314" t="str">
        <f>'Провода цвета'!A14&amp;""</f>
        <v>PM 0,35 (B) син.</v>
      </c>
      <c r="C149" s="315" t="str">
        <f>'Провода цвета'!B14&amp;""</f>
        <v>100м, сечение 0,35мм², CCA; синий</v>
      </c>
      <c r="D149" s="316" t="str">
        <f>IF('Провода цвета'!H14="+","есть",IF('Провода цвета'!H14="-","нет",""))</f>
        <v>есть</v>
      </c>
      <c r="E149" s="317"/>
      <c r="F149" s="318">
        <f>IF(N('Провода цвета'!G14)&lt;=0,"по запросу",CHOOSE($K$3,IF(N('Провода цвета'!E14)&gt;0,N('Провода цвета'!E14),N('Провода цвета'!G14)),IF(N('Провода цвета'!F14)&gt;0,N('Провода цвета'!F14),N('Провода цвета'!G14)),N('Провода цвета'!G14)))</f>
        <v>978.3</v>
      </c>
      <c r="G149" s="319" t="str">
        <f>IF(I149&lt;=0,"",IF(ISNUMBER(F149),I149*F149,"по запросу"))</f>
        <v/>
      </c>
      <c r="H149" s="320">
        <f>N('Провода цвета'!I14)</f>
        <v>0</v>
      </c>
      <c r="I149" s="320">
        <f>IF(N(E149)&gt;0,N(E149),H149)</f>
        <v>0</v>
      </c>
      <c r="J149" s="320">
        <f>I149*IF(N('Провода цвета'!E14)&gt;0,N('Провода цвета'!E14),N('Провода цвета'!G14))</f>
        <v>0</v>
      </c>
      <c r="K149" s="320">
        <f>I149*IF(N('Провода цвета'!F14)&gt;0,N('Провода цвета'!F14),N('Провода цвета'!G14))</f>
        <v>0</v>
      </c>
      <c r="L149" s="320">
        <f>N(L148)+(N(I149)&gt;0)</f>
        <v>0</v>
      </c>
    </row>
    <row r="150">
      <c r="A150" s="321" t="inlineStr">
        <is>
          <t xml:space="preserve">Провода цвета</t>
        </is>
      </c>
      <c r="B150" s="314" t="str">
        <f>'Провода цвета'!A15&amp;""</f>
        <v>PM 0,35 (B) кор.</v>
      </c>
      <c r="C150" s="315" t="str">
        <f>'Провода цвета'!B15&amp;""</f>
        <v>100м, сечение 0,35мм², CCA; коричневый</v>
      </c>
      <c r="D150" s="316" t="str">
        <f>IF('Провода цвета'!H15="+","есть",IF('Провода цвета'!H15="-","нет",""))</f>
        <v>есть</v>
      </c>
      <c r="E150" s="317"/>
      <c r="F150" s="318">
        <f>IF(N('Провода цвета'!G15)&lt;=0,"по запросу",CHOOSE($K$3,IF(N('Провода цвета'!E15)&gt;0,N('Провода цвета'!E15),N('Провода цвета'!G15)),IF(N('Провода цвета'!F15)&gt;0,N('Провода цвета'!F15),N('Провода цвета'!G15)),N('Провода цвета'!G15)))</f>
        <v>978.3</v>
      </c>
      <c r="G150" s="319" t="str">
        <f>IF(I150&lt;=0,"",IF(ISNUMBER(F150),I150*F150,"по запросу"))</f>
        <v/>
      </c>
      <c r="H150" s="320">
        <f>N('Провода цвета'!I15)</f>
        <v>0</v>
      </c>
      <c r="I150" s="320">
        <f>IF(N(E150)&gt;0,N(E150),H150)</f>
        <v>0</v>
      </c>
      <c r="J150" s="320">
        <f>I150*IF(N('Провода цвета'!E15)&gt;0,N('Провода цвета'!E15),N('Провода цвета'!G15))</f>
        <v>0</v>
      </c>
      <c r="K150" s="320">
        <f>I150*IF(N('Провода цвета'!F15)&gt;0,N('Провода цвета'!F15),N('Провода цвета'!G15))</f>
        <v>0</v>
      </c>
      <c r="L150" s="320">
        <f>N(L149)+(N(I150)&gt;0)</f>
        <v>0</v>
      </c>
    </row>
    <row r="151">
      <c r="A151" s="321" t="inlineStr">
        <is>
          <t xml:space="preserve">Провода цвета</t>
        </is>
      </c>
      <c r="B151" s="314" t="str">
        <f>'Провода цвета'!A16&amp;""</f>
        <v>PM 0,35 (B) черн.</v>
      </c>
      <c r="C151" s="315" t="str">
        <f>'Провода цвета'!B16&amp;""</f>
        <v>100м, сечение 0,35мм², CCA; черный</v>
      </c>
      <c r="D151" s="316" t="str">
        <f>IF('Провода цвета'!H16="+","есть",IF('Провода цвета'!H16="-","нет",""))</f>
        <v>есть</v>
      </c>
      <c r="E151" s="317"/>
      <c r="F151" s="318">
        <f>IF(N('Провода цвета'!G16)&lt;=0,"по запросу",CHOOSE($K$3,IF(N('Провода цвета'!E16)&gt;0,N('Провода цвета'!E16),N('Провода цвета'!G16)),IF(N('Провода цвета'!F16)&gt;0,N('Провода цвета'!F16),N('Провода цвета'!G16)),N('Провода цвета'!G16)))</f>
        <v>978.3</v>
      </c>
      <c r="G151" s="319" t="str">
        <f>IF(I151&lt;=0,"",IF(ISNUMBER(F151),I151*F151,"по запросу"))</f>
        <v/>
      </c>
      <c r="H151" s="320">
        <f>N('Провода цвета'!I16)</f>
        <v>0</v>
      </c>
      <c r="I151" s="320">
        <f>IF(N(E151)&gt;0,N(E151),H151)</f>
        <v>0</v>
      </c>
      <c r="J151" s="320">
        <f>I151*IF(N('Провода цвета'!E16)&gt;0,N('Провода цвета'!E16),N('Провода цвета'!G16))</f>
        <v>0</v>
      </c>
      <c r="K151" s="320">
        <f>I151*IF(N('Провода цвета'!F16)&gt;0,N('Провода цвета'!F16),N('Провода цвета'!G16))</f>
        <v>0</v>
      </c>
      <c r="L151" s="320">
        <f>N(L150)+(N(I151)&gt;0)</f>
        <v>0</v>
      </c>
    </row>
    <row r="152">
      <c r="A152" s="321" t="inlineStr">
        <is>
          <t xml:space="preserve">Провода цвета</t>
        </is>
      </c>
      <c r="B152" s="314" t="str">
        <f>'Провода цвета'!A17&amp;""</f>
        <v>PM 0,5 красн. </v>
      </c>
      <c r="C152" s="315" t="str">
        <f>'Провода цвета'!B17&amp;""</f>
        <v>100м, сечение 0,5мм², Cu; красный</v>
      </c>
      <c r="D152" s="316" t="str">
        <f>IF('Провода цвета'!H17="+","есть",IF('Провода цвета'!H17="-","нет",""))</f>
        <v>есть</v>
      </c>
      <c r="E152" s="317"/>
      <c r="F152" s="318">
        <f>IF(N('Провода цвета'!G17)&lt;=0,"по запросу",CHOOSE($K$3,IF(N('Провода цвета'!E17)&gt;0,N('Провода цвета'!E17),N('Провода цвета'!G17)),IF(N('Провода цвета'!F17)&gt;0,N('Провода цвета'!F17),N('Провода цвета'!G17)),N('Провода цвета'!G17)))</f>
        <v>2806.8</v>
      </c>
      <c r="G152" s="319" t="str">
        <f>IF(I152&lt;=0,"",IF(ISNUMBER(F152),I152*F152,"по запросу"))</f>
        <v/>
      </c>
      <c r="H152" s="320">
        <f>N('Провода цвета'!I17)</f>
        <v>0</v>
      </c>
      <c r="I152" s="320">
        <f>IF(N(E152)&gt;0,N(E152),H152)</f>
        <v>0</v>
      </c>
      <c r="J152" s="320">
        <f>I152*IF(N('Провода цвета'!E17)&gt;0,N('Провода цвета'!E17),N('Провода цвета'!G17))</f>
        <v>0</v>
      </c>
      <c r="K152" s="320">
        <f>I152*IF(N('Провода цвета'!F17)&gt;0,N('Провода цвета'!F17),N('Провода цвета'!G17))</f>
        <v>0</v>
      </c>
      <c r="L152" s="320">
        <f>N(L151)+(N(I152)&gt;0)</f>
        <v>0</v>
      </c>
    </row>
    <row r="153">
      <c r="A153" s="321" t="inlineStr">
        <is>
          <t xml:space="preserve">Провода цвета</t>
        </is>
      </c>
      <c r="B153" s="314" t="str">
        <f>'Провода цвета'!A18&amp;""</f>
        <v>PM 0,5 зел. </v>
      </c>
      <c r="C153" s="315" t="str">
        <f>'Провода цвета'!B18&amp;""</f>
        <v>100м, сечение 0,5мм², Cu; зеленый</v>
      </c>
      <c r="D153" s="316" t="str">
        <f>IF('Провода цвета'!H18="+","есть",IF('Провода цвета'!H18="-","нет",""))</f>
        <v>есть</v>
      </c>
      <c r="E153" s="317"/>
      <c r="F153" s="318">
        <f>IF(N('Провода цвета'!G18)&lt;=0,"по запросу",CHOOSE($K$3,IF(N('Провода цвета'!E18)&gt;0,N('Провода цвета'!E18),N('Провода цвета'!G18)),IF(N('Провода цвета'!F18)&gt;0,N('Провода цвета'!F18),N('Провода цвета'!G18)),N('Провода цвета'!G18)))</f>
        <v>2806.8</v>
      </c>
      <c r="G153" s="319" t="str">
        <f>IF(I153&lt;=0,"",IF(ISNUMBER(F153),I153*F153,"по запросу"))</f>
        <v/>
      </c>
      <c r="H153" s="320">
        <f>N('Провода цвета'!I18)</f>
        <v>0</v>
      </c>
      <c r="I153" s="320">
        <f>IF(N(E153)&gt;0,N(E153),H153)</f>
        <v>0</v>
      </c>
      <c r="J153" s="320">
        <f>I153*IF(N('Провода цвета'!E18)&gt;0,N('Провода цвета'!E18),N('Провода цвета'!G18))</f>
        <v>0</v>
      </c>
      <c r="K153" s="320">
        <f>I153*IF(N('Провода цвета'!F18)&gt;0,N('Провода цвета'!F18),N('Провода цвета'!G18))</f>
        <v>0</v>
      </c>
      <c r="L153" s="320">
        <f>N(L152)+(N(I153)&gt;0)</f>
        <v>0</v>
      </c>
    </row>
    <row r="154">
      <c r="A154" s="321" t="inlineStr">
        <is>
          <t xml:space="preserve">Провода цвета</t>
        </is>
      </c>
      <c r="B154" s="314" t="str">
        <f>'Провода цвета'!A19&amp;""</f>
        <v>PM 0,5 син. </v>
      </c>
      <c r="C154" s="315" t="str">
        <f>'Провода цвета'!B19&amp;""</f>
        <v>100м, сечение 0,5мм², Cu; синий</v>
      </c>
      <c r="D154" s="316" t="str">
        <f>IF('Провода цвета'!H19="+","есть",IF('Провода цвета'!H19="-","нет",""))</f>
        <v>есть</v>
      </c>
      <c r="E154" s="317"/>
      <c r="F154" s="318">
        <f>IF(N('Провода цвета'!G19)&lt;=0,"по запросу",CHOOSE($K$3,IF(N('Провода цвета'!E19)&gt;0,N('Провода цвета'!E19),N('Провода цвета'!G19)),IF(N('Провода цвета'!F19)&gt;0,N('Провода цвета'!F19),N('Провода цвета'!G19)),N('Провода цвета'!G19)))</f>
        <v>2806.8</v>
      </c>
      <c r="G154" s="319" t="str">
        <f>IF(I154&lt;=0,"",IF(ISNUMBER(F154),I154*F154,"по запросу"))</f>
        <v/>
      </c>
      <c r="H154" s="320">
        <f>N('Провода цвета'!I19)</f>
        <v>0</v>
      </c>
      <c r="I154" s="320">
        <f>IF(N(E154)&gt;0,N(E154),H154)</f>
        <v>0</v>
      </c>
      <c r="J154" s="320">
        <f>I154*IF(N('Провода цвета'!E19)&gt;0,N('Провода цвета'!E19),N('Провода цвета'!G19))</f>
        <v>0</v>
      </c>
      <c r="K154" s="320">
        <f>I154*IF(N('Провода цвета'!F19)&gt;0,N('Провода цвета'!F19),N('Провода цвета'!G19))</f>
        <v>0</v>
      </c>
      <c r="L154" s="320">
        <f>N(L153)+(N(I154)&gt;0)</f>
        <v>0</v>
      </c>
    </row>
    <row r="155">
      <c r="A155" s="321" t="inlineStr">
        <is>
          <t xml:space="preserve">Провода цвета</t>
        </is>
      </c>
      <c r="B155" s="314" t="str">
        <f>'Провода цвета'!A20&amp;""</f>
        <v>PM 0,5 кор. </v>
      </c>
      <c r="C155" s="315" t="str">
        <f>'Провода цвета'!B20&amp;""</f>
        <v>100м, сечение 0,5мм², Cu; коричневый</v>
      </c>
      <c r="D155" s="316" t="str">
        <f>IF('Провода цвета'!H20="+","есть",IF('Провода цвета'!H20="-","нет",""))</f>
        <v>есть</v>
      </c>
      <c r="E155" s="317"/>
      <c r="F155" s="318">
        <f>IF(N('Провода цвета'!G20)&lt;=0,"по запросу",CHOOSE($K$3,IF(N('Провода цвета'!E20)&gt;0,N('Провода цвета'!E20),N('Провода цвета'!G20)),IF(N('Провода цвета'!F20)&gt;0,N('Провода цвета'!F20),N('Провода цвета'!G20)),N('Провода цвета'!G20)))</f>
        <v>2806.8</v>
      </c>
      <c r="G155" s="319" t="str">
        <f>IF(I155&lt;=0,"",IF(ISNUMBER(F155),I155*F155,"по запросу"))</f>
        <v/>
      </c>
      <c r="H155" s="320">
        <f>N('Провода цвета'!I20)</f>
        <v>0</v>
      </c>
      <c r="I155" s="320">
        <f>IF(N(E155)&gt;0,N(E155),H155)</f>
        <v>0</v>
      </c>
      <c r="J155" s="320">
        <f>I155*IF(N('Провода цвета'!E20)&gt;0,N('Провода цвета'!E20),N('Провода цвета'!G20))</f>
        <v>0</v>
      </c>
      <c r="K155" s="320">
        <f>I155*IF(N('Провода цвета'!F20)&gt;0,N('Провода цвета'!F20),N('Провода цвета'!G20))</f>
        <v>0</v>
      </c>
      <c r="L155" s="320">
        <f>N(L154)+(N(I155)&gt;0)</f>
        <v>0</v>
      </c>
    </row>
    <row r="156">
      <c r="A156" s="321" t="inlineStr">
        <is>
          <t xml:space="preserve">Провода цвета</t>
        </is>
      </c>
      <c r="B156" s="314" t="str">
        <f>'Провода цвета'!A21&amp;""</f>
        <v>PM 0,5 черн.</v>
      </c>
      <c r="C156" s="315" t="str">
        <f>'Провода цвета'!B21&amp;""</f>
        <v>100м, сечение 0,5мм², Cu; черный</v>
      </c>
      <c r="D156" s="316" t="str">
        <f>IF('Провода цвета'!H21="+","есть",IF('Провода цвета'!H21="-","нет",""))</f>
        <v>есть</v>
      </c>
      <c r="E156" s="317"/>
      <c r="F156" s="318">
        <f>IF(N('Провода цвета'!G21)&lt;=0,"по запросу",CHOOSE($K$3,IF(N('Провода цвета'!E21)&gt;0,N('Провода цвета'!E21),N('Провода цвета'!G21)),IF(N('Провода цвета'!F21)&gt;0,N('Провода цвета'!F21),N('Провода цвета'!G21)),N('Провода цвета'!G21)))</f>
        <v>2806.8</v>
      </c>
      <c r="G156" s="319" t="str">
        <f>IF(I156&lt;=0,"",IF(ISNUMBER(F156),I156*F156,"по запросу"))</f>
        <v/>
      </c>
      <c r="H156" s="320">
        <f>N('Провода цвета'!I21)</f>
        <v>0</v>
      </c>
      <c r="I156" s="320">
        <f>IF(N(E156)&gt;0,N(E156),H156)</f>
        <v>0</v>
      </c>
      <c r="J156" s="320">
        <f>I156*IF(N('Провода цвета'!E21)&gt;0,N('Провода цвета'!E21),N('Провода цвета'!G21))</f>
        <v>0</v>
      </c>
      <c r="K156" s="320">
        <f>I156*IF(N('Провода цвета'!F21)&gt;0,N('Провода цвета'!F21),N('Провода цвета'!G21))</f>
        <v>0</v>
      </c>
      <c r="L156" s="320">
        <f>N(L155)+(N(I156)&gt;0)</f>
        <v>0</v>
      </c>
    </row>
    <row r="157">
      <c r="A157" s="321" t="inlineStr">
        <is>
          <t xml:space="preserve">Провода цвета</t>
        </is>
      </c>
      <c r="B157" s="314" t="str">
        <f>'Провода цвета'!A22&amp;""</f>
        <v>PM 0,5 (B) красн.</v>
      </c>
      <c r="C157" s="315" t="str">
        <f>'Провода цвета'!B22&amp;""</f>
        <v>100м, сечение 0,5мм², CCA; красный</v>
      </c>
      <c r="D157" s="316" t="str">
        <f>IF('Провода цвета'!H22="+","есть",IF('Провода цвета'!H22="-","нет",""))</f>
        <v>есть</v>
      </c>
      <c r="E157" s="317"/>
      <c r="F157" s="318">
        <f>IF(N('Провода цвета'!G22)&lt;=0,"по запросу",CHOOSE($K$3,IF(N('Провода цвета'!E22)&gt;0,N('Провода цвета'!E22),N('Провода цвета'!G22)),IF(N('Провода цвета'!F22)&gt;0,N('Провода цвета'!F22),N('Провода цвета'!G22)),N('Провода цвета'!G22)))</f>
        <v>1073.3</v>
      </c>
      <c r="G157" s="319" t="str">
        <f>IF(I157&lt;=0,"",IF(ISNUMBER(F157),I157*F157,"по запросу"))</f>
        <v/>
      </c>
      <c r="H157" s="320">
        <f>N('Провода цвета'!I22)</f>
        <v>0</v>
      </c>
      <c r="I157" s="320">
        <f>IF(N(E157)&gt;0,N(E157),H157)</f>
        <v>0</v>
      </c>
      <c r="J157" s="320">
        <f>I157*IF(N('Провода цвета'!E22)&gt;0,N('Провода цвета'!E22),N('Провода цвета'!G22))</f>
        <v>0</v>
      </c>
      <c r="K157" s="320">
        <f>I157*IF(N('Провода цвета'!F22)&gt;0,N('Провода цвета'!F22),N('Провода цвета'!G22))</f>
        <v>0</v>
      </c>
      <c r="L157" s="320">
        <f>N(L156)+(N(I157)&gt;0)</f>
        <v>0</v>
      </c>
    </row>
    <row r="158">
      <c r="A158" s="321" t="inlineStr">
        <is>
          <t xml:space="preserve">Провода цвета</t>
        </is>
      </c>
      <c r="B158" s="314" t="str">
        <f>'Провода цвета'!A23&amp;""</f>
        <v>PM 0,5 (B) оранж.</v>
      </c>
      <c r="C158" s="315" t="str">
        <f>'Провода цвета'!B23&amp;""</f>
        <v>100м, сечение 0,5мм², CCA; оранжевый</v>
      </c>
      <c r="D158" s="316" t="str">
        <f>IF('Провода цвета'!H23="+","есть",IF('Провода цвета'!H23="-","нет",""))</f>
        <v>есть</v>
      </c>
      <c r="E158" s="317"/>
      <c r="F158" s="318">
        <f>IF(N('Провода цвета'!G23)&lt;=0,"по запросу",CHOOSE($K$3,IF(N('Провода цвета'!E23)&gt;0,N('Провода цвета'!E23),N('Провода цвета'!G23)),IF(N('Провода цвета'!F23)&gt;0,N('Провода цвета'!F23),N('Провода цвета'!G23)),N('Провода цвета'!G23)))</f>
        <v>1073.3</v>
      </c>
      <c r="G158" s="319" t="str">
        <f>IF(I158&lt;=0,"",IF(ISNUMBER(F158),I158*F158,"по запросу"))</f>
        <v/>
      </c>
      <c r="H158" s="320">
        <f>N('Провода цвета'!I23)</f>
        <v>0</v>
      </c>
      <c r="I158" s="320">
        <f>IF(N(E158)&gt;0,N(E158),H158)</f>
        <v>0</v>
      </c>
      <c r="J158" s="320">
        <f>I158*IF(N('Провода цвета'!E23)&gt;0,N('Провода цвета'!E23),N('Провода цвета'!G23))</f>
        <v>0</v>
      </c>
      <c r="K158" s="320">
        <f>I158*IF(N('Провода цвета'!F23)&gt;0,N('Провода цвета'!F23),N('Провода цвета'!G23))</f>
        <v>0</v>
      </c>
      <c r="L158" s="320">
        <f>N(L157)+(N(I158)&gt;0)</f>
        <v>0</v>
      </c>
    </row>
    <row r="159">
      <c r="A159" s="321" t="inlineStr">
        <is>
          <t xml:space="preserve">Провода цвета</t>
        </is>
      </c>
      <c r="B159" s="314" t="str">
        <f>'Провода цвета'!A24&amp;""</f>
        <v>PM 0,5 (B) бел.</v>
      </c>
      <c r="C159" s="315" t="str">
        <f>'Провода цвета'!B24&amp;""</f>
        <v>100м, сечение 0,5мм², CCA; белый</v>
      </c>
      <c r="D159" s="316" t="str">
        <f>IF('Провода цвета'!H24="+","есть",IF('Провода цвета'!H24="-","нет",""))</f>
        <v>есть</v>
      </c>
      <c r="E159" s="317"/>
      <c r="F159" s="318">
        <f>IF(N('Провода цвета'!G24)&lt;=0,"по запросу",CHOOSE($K$3,IF(N('Провода цвета'!E24)&gt;0,N('Провода цвета'!E24),N('Провода цвета'!G24)),IF(N('Провода цвета'!F24)&gt;0,N('Провода цвета'!F24),N('Провода цвета'!G24)),N('Провода цвета'!G24)))</f>
        <v>1073.3</v>
      </c>
      <c r="G159" s="319" t="str">
        <f>IF(I159&lt;=0,"",IF(ISNUMBER(F159),I159*F159,"по запросу"))</f>
        <v/>
      </c>
      <c r="H159" s="320">
        <f>N('Провода цвета'!I24)</f>
        <v>0</v>
      </c>
      <c r="I159" s="320">
        <f>IF(N(E159)&gt;0,N(E159),H159)</f>
        <v>0</v>
      </c>
      <c r="J159" s="320">
        <f>I159*IF(N('Провода цвета'!E24)&gt;0,N('Провода цвета'!E24),N('Провода цвета'!G24))</f>
        <v>0</v>
      </c>
      <c r="K159" s="320">
        <f>I159*IF(N('Провода цвета'!F24)&gt;0,N('Провода цвета'!F24),N('Провода цвета'!G24))</f>
        <v>0</v>
      </c>
      <c r="L159" s="320">
        <f>N(L158)+(N(I159)&gt;0)</f>
        <v>0</v>
      </c>
    </row>
    <row r="160">
      <c r="A160" s="321" t="inlineStr">
        <is>
          <t xml:space="preserve">Провода цвета</t>
        </is>
      </c>
      <c r="B160" s="314" t="str">
        <f>'Провода цвета'!A25&amp;""</f>
        <v>PM 0,5 (B) желт.</v>
      </c>
      <c r="C160" s="315" t="str">
        <f>'Провода цвета'!B25&amp;""</f>
        <v>100м, сечение 0,5мм², CCA; желтый</v>
      </c>
      <c r="D160" s="316" t="str">
        <f>IF('Провода цвета'!H25="+","есть",IF('Провода цвета'!H25="-","нет",""))</f>
        <v>есть</v>
      </c>
      <c r="E160" s="317"/>
      <c r="F160" s="318">
        <f>IF(N('Провода цвета'!G25)&lt;=0,"по запросу",CHOOSE($K$3,IF(N('Провода цвета'!E25)&gt;0,N('Провода цвета'!E25),N('Провода цвета'!G25)),IF(N('Провода цвета'!F25)&gt;0,N('Провода цвета'!F25),N('Провода цвета'!G25)),N('Провода цвета'!G25)))</f>
        <v>1073.3</v>
      </c>
      <c r="G160" s="319" t="str">
        <f>IF(I160&lt;=0,"",IF(ISNUMBER(F160),I160*F160,"по запросу"))</f>
        <v/>
      </c>
      <c r="H160" s="320">
        <f>N('Провода цвета'!I25)</f>
        <v>0</v>
      </c>
      <c r="I160" s="320">
        <f>IF(N(E160)&gt;0,N(E160),H160)</f>
        <v>0</v>
      </c>
      <c r="J160" s="320">
        <f>I160*IF(N('Провода цвета'!E25)&gt;0,N('Провода цвета'!E25),N('Провода цвета'!G25))</f>
        <v>0</v>
      </c>
      <c r="K160" s="320">
        <f>I160*IF(N('Провода цвета'!F25)&gt;0,N('Провода цвета'!F25),N('Провода цвета'!G25))</f>
        <v>0</v>
      </c>
      <c r="L160" s="320">
        <f>N(L159)+(N(I160)&gt;0)</f>
        <v>0</v>
      </c>
    </row>
    <row r="161">
      <c r="A161" s="321" t="inlineStr">
        <is>
          <t xml:space="preserve">Провода цвета</t>
        </is>
      </c>
      <c r="B161" s="314" t="str">
        <f>'Провода цвета'!A26&amp;""</f>
        <v>PM 0,5 (B) зелен.</v>
      </c>
      <c r="C161" s="315" t="str">
        <f>'Провода цвета'!B26&amp;""</f>
        <v>100м, сечение 0,5мм², CCA; зеленый</v>
      </c>
      <c r="D161" s="316" t="str">
        <f>IF('Провода цвета'!H26="+","есть",IF('Провода цвета'!H26="-","нет",""))</f>
        <v>есть</v>
      </c>
      <c r="E161" s="317"/>
      <c r="F161" s="318">
        <f>IF(N('Провода цвета'!G26)&lt;=0,"по запросу",CHOOSE($K$3,IF(N('Провода цвета'!E26)&gt;0,N('Провода цвета'!E26),N('Провода цвета'!G26)),IF(N('Провода цвета'!F26)&gt;0,N('Провода цвета'!F26),N('Провода цвета'!G26)),N('Провода цвета'!G26)))</f>
        <v>1073.3</v>
      </c>
      <c r="G161" s="319" t="str">
        <f>IF(I161&lt;=0,"",IF(ISNUMBER(F161),I161*F161,"по запросу"))</f>
        <v/>
      </c>
      <c r="H161" s="320">
        <f>N('Провода цвета'!I26)</f>
        <v>0</v>
      </c>
      <c r="I161" s="320">
        <f>IF(N(E161)&gt;0,N(E161),H161)</f>
        <v>0</v>
      </c>
      <c r="J161" s="320">
        <f>I161*IF(N('Провода цвета'!E26)&gt;0,N('Провода цвета'!E26),N('Провода цвета'!G26))</f>
        <v>0</v>
      </c>
      <c r="K161" s="320">
        <f>I161*IF(N('Провода цвета'!F26)&gt;0,N('Провода цвета'!F26),N('Провода цвета'!G26))</f>
        <v>0</v>
      </c>
      <c r="L161" s="320">
        <f>N(L160)+(N(I161)&gt;0)</f>
        <v>0</v>
      </c>
    </row>
    <row r="162">
      <c r="A162" s="321" t="inlineStr">
        <is>
          <t xml:space="preserve">Провода цвета</t>
        </is>
      </c>
      <c r="B162" s="314" t="str">
        <f>'Провода цвета'!A27&amp;""</f>
        <v>PM 0,5 (B) син.</v>
      </c>
      <c r="C162" s="315" t="str">
        <f>'Провода цвета'!B27&amp;""</f>
        <v>100м, сечение 0,5мм², CCA; синий</v>
      </c>
      <c r="D162" s="316" t="str">
        <f>IF('Провода цвета'!H27="+","есть",IF('Провода цвета'!H27="-","нет",""))</f>
        <v>есть</v>
      </c>
      <c r="E162" s="317"/>
      <c r="F162" s="318">
        <f>IF(N('Провода цвета'!G27)&lt;=0,"по запросу",CHOOSE($K$3,IF(N('Провода цвета'!E27)&gt;0,N('Провода цвета'!E27),N('Провода цвета'!G27)),IF(N('Провода цвета'!F27)&gt;0,N('Провода цвета'!F27),N('Провода цвета'!G27)),N('Провода цвета'!G27)))</f>
        <v>1073.3</v>
      </c>
      <c r="G162" s="319" t="str">
        <f>IF(I162&lt;=0,"",IF(ISNUMBER(F162),I162*F162,"по запросу"))</f>
        <v/>
      </c>
      <c r="H162" s="320">
        <f>N('Провода цвета'!I27)</f>
        <v>0</v>
      </c>
      <c r="I162" s="320">
        <f>IF(N(E162)&gt;0,N(E162),H162)</f>
        <v>0</v>
      </c>
      <c r="J162" s="320">
        <f>I162*IF(N('Провода цвета'!E27)&gt;0,N('Провода цвета'!E27),N('Провода цвета'!G27))</f>
        <v>0</v>
      </c>
      <c r="K162" s="320">
        <f>I162*IF(N('Провода цвета'!F27)&gt;0,N('Провода цвета'!F27),N('Провода цвета'!G27))</f>
        <v>0</v>
      </c>
      <c r="L162" s="320">
        <f>N(L161)+(N(I162)&gt;0)</f>
        <v>0</v>
      </c>
    </row>
    <row r="163">
      <c r="A163" s="321" t="inlineStr">
        <is>
          <t xml:space="preserve">Провода цвета</t>
        </is>
      </c>
      <c r="B163" s="314" t="str">
        <f>'Провода цвета'!A28&amp;""</f>
        <v>PM 0,5 (B) кор.</v>
      </c>
      <c r="C163" s="315" t="str">
        <f>'Провода цвета'!B28&amp;""</f>
        <v>100м, сечение 0,5мм², CCA; коричневый</v>
      </c>
      <c r="D163" s="316" t="str">
        <f>IF('Провода цвета'!H28="+","есть",IF('Провода цвета'!H28="-","нет",""))</f>
        <v>есть</v>
      </c>
      <c r="E163" s="317"/>
      <c r="F163" s="318">
        <f>IF(N('Провода цвета'!G28)&lt;=0,"по запросу",CHOOSE($K$3,IF(N('Провода цвета'!E28)&gt;0,N('Провода цвета'!E28),N('Провода цвета'!G28)),IF(N('Провода цвета'!F28)&gt;0,N('Провода цвета'!F28),N('Провода цвета'!G28)),N('Провода цвета'!G28)))</f>
        <v>1073.3</v>
      </c>
      <c r="G163" s="319" t="str">
        <f>IF(I163&lt;=0,"",IF(ISNUMBER(F163),I163*F163,"по запросу"))</f>
        <v/>
      </c>
      <c r="H163" s="320">
        <f>N('Провода цвета'!I28)</f>
        <v>0</v>
      </c>
      <c r="I163" s="320">
        <f>IF(N(E163)&gt;0,N(E163),H163)</f>
        <v>0</v>
      </c>
      <c r="J163" s="320">
        <f>I163*IF(N('Провода цвета'!E28)&gt;0,N('Провода цвета'!E28),N('Провода цвета'!G28))</f>
        <v>0</v>
      </c>
      <c r="K163" s="320">
        <f>I163*IF(N('Провода цвета'!F28)&gt;0,N('Провода цвета'!F28),N('Провода цвета'!G28))</f>
        <v>0</v>
      </c>
      <c r="L163" s="320">
        <f>N(L162)+(N(I163)&gt;0)</f>
        <v>0</v>
      </c>
    </row>
    <row r="164">
      <c r="A164" s="321" t="inlineStr">
        <is>
          <t xml:space="preserve">Провода цвета</t>
        </is>
      </c>
      <c r="B164" s="314" t="str">
        <f>'Провода цвета'!A29&amp;""</f>
        <v>PM 0,5 (B) сер.</v>
      </c>
      <c r="C164" s="315" t="str">
        <f>'Провода цвета'!B29&amp;""</f>
        <v>100м, сечение 0,5мм², CCA; серый</v>
      </c>
      <c r="D164" s="316" t="str">
        <f>IF('Провода цвета'!H29="+","есть",IF('Провода цвета'!H29="-","нет",""))</f>
        <v>есть</v>
      </c>
      <c r="E164" s="317"/>
      <c r="F164" s="318">
        <f>IF(N('Провода цвета'!G29)&lt;=0,"по запросу",CHOOSE($K$3,IF(N('Провода цвета'!E29)&gt;0,N('Провода цвета'!E29),N('Провода цвета'!G29)),IF(N('Провода цвета'!F29)&gt;0,N('Провода цвета'!F29),N('Провода цвета'!G29)),N('Провода цвета'!G29)))</f>
        <v>1073.3</v>
      </c>
      <c r="G164" s="319" t="str">
        <f>IF(I164&lt;=0,"",IF(ISNUMBER(F164),I164*F164,"по запросу"))</f>
        <v/>
      </c>
      <c r="H164" s="320">
        <f>N('Провода цвета'!I29)</f>
        <v>0</v>
      </c>
      <c r="I164" s="320">
        <f>IF(N(E164)&gt;0,N(E164),H164)</f>
        <v>0</v>
      </c>
      <c r="J164" s="320">
        <f>I164*IF(N('Провода цвета'!E29)&gt;0,N('Провода цвета'!E29),N('Провода цвета'!G29))</f>
        <v>0</v>
      </c>
      <c r="K164" s="320">
        <f>I164*IF(N('Провода цвета'!F29)&gt;0,N('Провода цвета'!F29),N('Провода цвета'!G29))</f>
        <v>0</v>
      </c>
      <c r="L164" s="320">
        <f>N(L163)+(N(I164)&gt;0)</f>
        <v>0</v>
      </c>
    </row>
    <row r="165">
      <c r="A165" s="321" t="inlineStr">
        <is>
          <t xml:space="preserve">Провода цвета</t>
        </is>
      </c>
      <c r="B165" s="314" t="str">
        <f>'Провода цвета'!A30&amp;""</f>
        <v>PM 0,5 (B) черн.</v>
      </c>
      <c r="C165" s="315" t="str">
        <f>'Провода цвета'!B30&amp;""</f>
        <v>100м, сечение 0,5мм², CCA; черный</v>
      </c>
      <c r="D165" s="316" t="str">
        <f>IF('Провода цвета'!H30="+","есть",IF('Провода цвета'!H30="-","нет",""))</f>
        <v>есть</v>
      </c>
      <c r="E165" s="317"/>
      <c r="F165" s="318">
        <f>IF(N('Провода цвета'!G30)&lt;=0,"по запросу",CHOOSE($K$3,IF(N('Провода цвета'!E30)&gt;0,N('Провода цвета'!E30),N('Провода цвета'!G30)),IF(N('Провода цвета'!F30)&gt;0,N('Провода цвета'!F30),N('Провода цвета'!G30)),N('Провода цвета'!G30)))</f>
        <v>1073.3</v>
      </c>
      <c r="G165" s="319" t="str">
        <f>IF(I165&lt;=0,"",IF(ISNUMBER(F165),I165*F165,"по запросу"))</f>
        <v/>
      </c>
      <c r="H165" s="320">
        <f>N('Провода цвета'!I30)</f>
        <v>0</v>
      </c>
      <c r="I165" s="320">
        <f>IF(N(E165)&gt;0,N(E165),H165)</f>
        <v>0</v>
      </c>
      <c r="J165" s="320">
        <f>I165*IF(N('Провода цвета'!E30)&gt;0,N('Провода цвета'!E30),N('Провода цвета'!G30))</f>
        <v>0</v>
      </c>
      <c r="K165" s="320">
        <f>I165*IF(N('Провода цвета'!F30)&gt;0,N('Провода цвета'!F30),N('Провода цвета'!G30))</f>
        <v>0</v>
      </c>
      <c r="L165" s="320">
        <f>N(L164)+(N(I165)&gt;0)</f>
        <v>0</v>
      </c>
    </row>
    <row r="166">
      <c r="A166" s="321" t="inlineStr">
        <is>
          <t xml:space="preserve">Провода цвета</t>
        </is>
      </c>
      <c r="B166" s="314" t="str">
        <f>'Провода цвета'!A31&amp;""</f>
        <v>PM 0,75 красн. </v>
      </c>
      <c r="C166" s="315" t="str">
        <f>'Провода цвета'!B31&amp;""</f>
        <v>100м, сечение 0,75мм², Cu; красный</v>
      </c>
      <c r="D166" s="316" t="str">
        <f>IF('Провода цвета'!H31="+","есть",IF('Провода цвета'!H31="-","нет",""))</f>
        <v>есть</v>
      </c>
      <c r="E166" s="317"/>
      <c r="F166" s="318">
        <f>IF(N('Провода цвета'!G31)&lt;=0,"по запросу",CHOOSE($K$3,IF(N('Провода цвета'!E31)&gt;0,N('Провода цвета'!E31),N('Провода цвета'!G31)),IF(N('Провода цвета'!F31)&gt;0,N('Провода цвета'!F31),N('Провода цвета'!G31)),N('Провода цвета'!G31)))</f>
        <v>3833</v>
      </c>
      <c r="G166" s="319" t="str">
        <f>IF(I166&lt;=0,"",IF(ISNUMBER(F166),I166*F166,"по запросу"))</f>
        <v/>
      </c>
      <c r="H166" s="320">
        <f>N('Провода цвета'!I31)</f>
        <v>0</v>
      </c>
      <c r="I166" s="320">
        <f>IF(N(E166)&gt;0,N(E166),H166)</f>
        <v>0</v>
      </c>
      <c r="J166" s="320">
        <f>I166*IF(N('Провода цвета'!E31)&gt;0,N('Провода цвета'!E31),N('Провода цвета'!G31))</f>
        <v>0</v>
      </c>
      <c r="K166" s="320">
        <f>I166*IF(N('Провода цвета'!F31)&gt;0,N('Провода цвета'!F31),N('Провода цвета'!G31))</f>
        <v>0</v>
      </c>
      <c r="L166" s="320">
        <f>N(L165)+(N(I166)&gt;0)</f>
        <v>0</v>
      </c>
    </row>
    <row r="167">
      <c r="A167" s="321" t="inlineStr">
        <is>
          <t xml:space="preserve">Провода цвета</t>
        </is>
      </c>
      <c r="B167" s="314" t="str">
        <f>'Провода цвета'!A32&amp;""</f>
        <v>PM 0,75 оранж. </v>
      </c>
      <c r="C167" s="315" t="str">
        <f>'Провода цвета'!B32&amp;""</f>
        <v>100м, сечение 0,75мм², Cu; оранжевый</v>
      </c>
      <c r="D167" s="316" t="str">
        <f>IF('Провода цвета'!H32="+","есть",IF('Провода цвета'!H32="-","нет",""))</f>
        <v>есть</v>
      </c>
      <c r="E167" s="317"/>
      <c r="F167" s="318">
        <f>IF(N('Провода цвета'!G32)&lt;=0,"по запросу",CHOOSE($K$3,IF(N('Провода цвета'!E32)&gt;0,N('Провода цвета'!E32),N('Провода цвета'!G32)),IF(N('Провода цвета'!F32)&gt;0,N('Провода цвета'!F32),N('Провода цвета'!G32)),N('Провода цвета'!G32)))</f>
        <v>3833</v>
      </c>
      <c r="G167" s="319" t="str">
        <f>IF(I167&lt;=0,"",IF(ISNUMBER(F167),I167*F167,"по запросу"))</f>
        <v/>
      </c>
      <c r="H167" s="320">
        <f>N('Провода цвета'!I32)</f>
        <v>0</v>
      </c>
      <c r="I167" s="320">
        <f>IF(N(E167)&gt;0,N(E167),H167)</f>
        <v>0</v>
      </c>
      <c r="J167" s="320">
        <f>I167*IF(N('Провода цвета'!E32)&gt;0,N('Провода цвета'!E32),N('Провода цвета'!G32))</f>
        <v>0</v>
      </c>
      <c r="K167" s="320">
        <f>I167*IF(N('Провода цвета'!F32)&gt;0,N('Провода цвета'!F32),N('Провода цвета'!G32))</f>
        <v>0</v>
      </c>
      <c r="L167" s="320">
        <f>N(L166)+(N(I167)&gt;0)</f>
        <v>0</v>
      </c>
    </row>
    <row r="168">
      <c r="A168" s="321" t="inlineStr">
        <is>
          <t xml:space="preserve">Провода цвета</t>
        </is>
      </c>
      <c r="B168" s="314" t="str">
        <f>'Провода цвета'!A33&amp;""</f>
        <v>PM 0,75 желт.</v>
      </c>
      <c r="C168" s="315" t="str">
        <f>'Провода цвета'!B33&amp;""</f>
        <v>100м, сечение 0,75мм², Cu; желтый</v>
      </c>
      <c r="D168" s="316" t="str">
        <f>IF('Провода цвета'!H33="+","есть",IF('Провода цвета'!H33="-","нет",""))</f>
        <v>есть</v>
      </c>
      <c r="E168" s="317"/>
      <c r="F168" s="318">
        <f>IF(N('Провода цвета'!G33)&lt;=0,"по запросу",CHOOSE($K$3,IF(N('Провода цвета'!E33)&gt;0,N('Провода цвета'!E33),N('Провода цвета'!G33)),IF(N('Провода цвета'!F33)&gt;0,N('Провода цвета'!F33),N('Провода цвета'!G33)),N('Провода цвета'!G33)))</f>
        <v>3833</v>
      </c>
      <c r="G168" s="319" t="str">
        <f>IF(I168&lt;=0,"",IF(ISNUMBER(F168),I168*F168,"по запросу"))</f>
        <v/>
      </c>
      <c r="H168" s="320">
        <f>N('Провода цвета'!I33)</f>
        <v>0</v>
      </c>
      <c r="I168" s="320">
        <f>IF(N(E168)&gt;0,N(E168),H168)</f>
        <v>0</v>
      </c>
      <c r="J168" s="320">
        <f>I168*IF(N('Провода цвета'!E33)&gt;0,N('Провода цвета'!E33),N('Провода цвета'!G33))</f>
        <v>0</v>
      </c>
      <c r="K168" s="320">
        <f>I168*IF(N('Провода цвета'!F33)&gt;0,N('Провода цвета'!F33),N('Провода цвета'!G33))</f>
        <v>0</v>
      </c>
      <c r="L168" s="320">
        <f>N(L167)+(N(I168)&gt;0)</f>
        <v>0</v>
      </c>
    </row>
    <row r="169">
      <c r="A169" s="321" t="inlineStr">
        <is>
          <t xml:space="preserve">Провода цвета</t>
        </is>
      </c>
      <c r="B169" s="314" t="str">
        <f>'Провода цвета'!A34&amp;""</f>
        <v>PM 0,75 зел. </v>
      </c>
      <c r="C169" s="315" t="str">
        <f>'Провода цвета'!B34&amp;""</f>
        <v>100м, сечение 0,75мм², Cu; зеленый</v>
      </c>
      <c r="D169" s="316" t="str">
        <f>IF('Провода цвета'!H34="+","есть",IF('Провода цвета'!H34="-","нет",""))</f>
        <v>есть</v>
      </c>
      <c r="E169" s="317"/>
      <c r="F169" s="318">
        <f>IF(N('Провода цвета'!G34)&lt;=0,"по запросу",CHOOSE($K$3,IF(N('Провода цвета'!E34)&gt;0,N('Провода цвета'!E34),N('Провода цвета'!G34)),IF(N('Провода цвета'!F34)&gt;0,N('Провода цвета'!F34),N('Провода цвета'!G34)),N('Провода цвета'!G34)))</f>
        <v>3833</v>
      </c>
      <c r="G169" s="319" t="str">
        <f>IF(I169&lt;=0,"",IF(ISNUMBER(F169),I169*F169,"по запросу"))</f>
        <v/>
      </c>
      <c r="H169" s="320">
        <f>N('Провода цвета'!I34)</f>
        <v>0</v>
      </c>
      <c r="I169" s="320">
        <f>IF(N(E169)&gt;0,N(E169),H169)</f>
        <v>0</v>
      </c>
      <c r="J169" s="320">
        <f>I169*IF(N('Провода цвета'!E34)&gt;0,N('Провода цвета'!E34),N('Провода цвета'!G34))</f>
        <v>0</v>
      </c>
      <c r="K169" s="320">
        <f>I169*IF(N('Провода цвета'!F34)&gt;0,N('Провода цвета'!F34),N('Провода цвета'!G34))</f>
        <v>0</v>
      </c>
      <c r="L169" s="320">
        <f>N(L168)+(N(I169)&gt;0)</f>
        <v>0</v>
      </c>
    </row>
    <row r="170">
      <c r="A170" s="321" t="inlineStr">
        <is>
          <t xml:space="preserve">Провода цвета</t>
        </is>
      </c>
      <c r="B170" s="314" t="str">
        <f>'Провода цвета'!A35&amp;""</f>
        <v>PM 0,75 син. </v>
      </c>
      <c r="C170" s="315" t="str">
        <f>'Провода цвета'!B35&amp;""</f>
        <v>100м, сечение 0,75мм², Cu; синий</v>
      </c>
      <c r="D170" s="316" t="str">
        <f>IF('Провода цвета'!H35="+","есть",IF('Провода цвета'!H35="-","нет",""))</f>
        <v>есть</v>
      </c>
      <c r="E170" s="317"/>
      <c r="F170" s="318">
        <f>IF(N('Провода цвета'!G35)&lt;=0,"по запросу",CHOOSE($K$3,IF(N('Провода цвета'!E35)&gt;0,N('Провода цвета'!E35),N('Провода цвета'!G35)),IF(N('Провода цвета'!F35)&gt;0,N('Провода цвета'!F35),N('Провода цвета'!G35)),N('Провода цвета'!G35)))</f>
        <v>3833</v>
      </c>
      <c r="G170" s="319" t="str">
        <f>IF(I170&lt;=0,"",IF(ISNUMBER(F170),I170*F170,"по запросу"))</f>
        <v/>
      </c>
      <c r="H170" s="320">
        <f>N('Провода цвета'!I35)</f>
        <v>0</v>
      </c>
      <c r="I170" s="320">
        <f>IF(N(E170)&gt;0,N(E170),H170)</f>
        <v>0</v>
      </c>
      <c r="J170" s="320">
        <f>I170*IF(N('Провода цвета'!E35)&gt;0,N('Провода цвета'!E35),N('Провода цвета'!G35))</f>
        <v>0</v>
      </c>
      <c r="K170" s="320">
        <f>I170*IF(N('Провода цвета'!F35)&gt;0,N('Провода цвета'!F35),N('Провода цвета'!G35))</f>
        <v>0</v>
      </c>
      <c r="L170" s="320">
        <f>N(L169)+(N(I170)&gt;0)</f>
        <v>0</v>
      </c>
    </row>
    <row r="171">
      <c r="A171" s="321" t="inlineStr">
        <is>
          <t xml:space="preserve">Провода цвета</t>
        </is>
      </c>
      <c r="B171" s="314" t="str">
        <f>'Провода цвета'!A36&amp;""</f>
        <v>PM 0,75 кор. </v>
      </c>
      <c r="C171" s="315" t="str">
        <f>'Провода цвета'!B36&amp;""</f>
        <v>100м, сечение 0,75мм², Cu; коричневый</v>
      </c>
      <c r="D171" s="316" t="str">
        <f>IF('Провода цвета'!H36="+","есть",IF('Провода цвета'!H36="-","нет",""))</f>
        <v>есть</v>
      </c>
      <c r="E171" s="317"/>
      <c r="F171" s="318">
        <f>IF(N('Провода цвета'!G36)&lt;=0,"по запросу",CHOOSE($K$3,IF(N('Провода цвета'!E36)&gt;0,N('Провода цвета'!E36),N('Провода цвета'!G36)),IF(N('Провода цвета'!F36)&gt;0,N('Провода цвета'!F36),N('Провода цвета'!G36)),N('Провода цвета'!G36)))</f>
        <v>3833</v>
      </c>
      <c r="G171" s="319" t="str">
        <f>IF(I171&lt;=0,"",IF(ISNUMBER(F171),I171*F171,"по запросу"))</f>
        <v/>
      </c>
      <c r="H171" s="320">
        <f>N('Провода цвета'!I36)</f>
        <v>0</v>
      </c>
      <c r="I171" s="320">
        <f>IF(N(E171)&gt;0,N(E171),H171)</f>
        <v>0</v>
      </c>
      <c r="J171" s="320">
        <f>I171*IF(N('Провода цвета'!E36)&gt;0,N('Провода цвета'!E36),N('Провода цвета'!G36))</f>
        <v>0</v>
      </c>
      <c r="K171" s="320">
        <f>I171*IF(N('Провода цвета'!F36)&gt;0,N('Провода цвета'!F36),N('Провода цвета'!G36))</f>
        <v>0</v>
      </c>
      <c r="L171" s="320">
        <f>N(L170)+(N(I171)&gt;0)</f>
        <v>0</v>
      </c>
    </row>
    <row r="172">
      <c r="A172" s="321" t="inlineStr">
        <is>
          <t xml:space="preserve">Провода цвета</t>
        </is>
      </c>
      <c r="B172" s="314" t="str">
        <f>'Провода цвета'!A37&amp;""</f>
        <v>PM 0,75 черн.</v>
      </c>
      <c r="C172" s="315" t="str">
        <f>'Провода цвета'!B37&amp;""</f>
        <v>100м, сечение 0,75мм², Cu; черный</v>
      </c>
      <c r="D172" s="316" t="str">
        <f>IF('Провода цвета'!H37="+","есть",IF('Провода цвета'!H37="-","нет",""))</f>
        <v>есть</v>
      </c>
      <c r="E172" s="317"/>
      <c r="F172" s="318">
        <f>IF(N('Провода цвета'!G37)&lt;=0,"по запросу",CHOOSE($K$3,IF(N('Провода цвета'!E37)&gt;0,N('Провода цвета'!E37),N('Провода цвета'!G37)),IF(N('Провода цвета'!F37)&gt;0,N('Провода цвета'!F37),N('Провода цвета'!G37)),N('Провода цвета'!G37)))</f>
        <v>3833</v>
      </c>
      <c r="G172" s="319" t="str">
        <f>IF(I172&lt;=0,"",IF(ISNUMBER(F172),I172*F172,"по запросу"))</f>
        <v/>
      </c>
      <c r="H172" s="320">
        <f>N('Провода цвета'!I37)</f>
        <v>0</v>
      </c>
      <c r="I172" s="320">
        <f>IF(N(E172)&gt;0,N(E172),H172)</f>
        <v>0</v>
      </c>
      <c r="J172" s="320">
        <f>I172*IF(N('Провода цвета'!E37)&gt;0,N('Провода цвета'!E37),N('Провода цвета'!G37))</f>
        <v>0</v>
      </c>
      <c r="K172" s="320">
        <f>I172*IF(N('Провода цвета'!F37)&gt;0,N('Провода цвета'!F37),N('Провода цвета'!G37))</f>
        <v>0</v>
      </c>
      <c r="L172" s="320">
        <f>N(L171)+(N(I172)&gt;0)</f>
        <v>0</v>
      </c>
    </row>
    <row r="173">
      <c r="A173" s="321" t="inlineStr">
        <is>
          <t xml:space="preserve">Провода цвета</t>
        </is>
      </c>
      <c r="B173" s="314" t="str">
        <f>'Провода цвета'!A38&amp;""</f>
        <v>PM 0,75 (B) красн.</v>
      </c>
      <c r="C173" s="315" t="str">
        <f>'Провода цвета'!B38&amp;""</f>
        <v>100м, сечение 0,75мм², CCA; красный</v>
      </c>
      <c r="D173" s="316" t="str">
        <f>IF('Провода цвета'!H38="+","есть",IF('Провода цвета'!H38="-","нет",""))</f>
        <v>есть</v>
      </c>
      <c r="E173" s="317"/>
      <c r="F173" s="318">
        <f>IF(N('Провода цвета'!G38)&lt;=0,"по запросу",CHOOSE($K$3,IF(N('Провода цвета'!E38)&gt;0,N('Провода цвета'!E38),N('Провода цвета'!G38)),IF(N('Провода цвета'!F38)&gt;0,N('Провода цвета'!F38),N('Провода цвета'!G38)),N('Провода цвета'!G38)))</f>
        <v>1436.6</v>
      </c>
      <c r="G173" s="319" t="str">
        <f>IF(I173&lt;=0,"",IF(ISNUMBER(F173),I173*F173,"по запросу"))</f>
        <v/>
      </c>
      <c r="H173" s="320">
        <f>N('Провода цвета'!I38)</f>
        <v>0</v>
      </c>
      <c r="I173" s="320">
        <f>IF(N(E173)&gt;0,N(E173),H173)</f>
        <v>0</v>
      </c>
      <c r="J173" s="320">
        <f>I173*IF(N('Провода цвета'!E38)&gt;0,N('Провода цвета'!E38),N('Провода цвета'!G38))</f>
        <v>0</v>
      </c>
      <c r="K173" s="320">
        <f>I173*IF(N('Провода цвета'!F38)&gt;0,N('Провода цвета'!F38),N('Провода цвета'!G38))</f>
        <v>0</v>
      </c>
      <c r="L173" s="320">
        <f>N(L172)+(N(I173)&gt;0)</f>
        <v>0</v>
      </c>
    </row>
    <row r="174">
      <c r="A174" s="321" t="inlineStr">
        <is>
          <t xml:space="preserve">Провода цвета</t>
        </is>
      </c>
      <c r="B174" s="314" t="str">
        <f>'Провода цвета'!A39&amp;""</f>
        <v>PM 0,75 (B) оранж.</v>
      </c>
      <c r="C174" s="315" t="str">
        <f>'Провода цвета'!B39&amp;""</f>
        <v>100м, сечение 0,75мм², CCA; оранжевый</v>
      </c>
      <c r="D174" s="316" t="str">
        <f>IF('Провода цвета'!H39="+","есть",IF('Провода цвета'!H39="-","нет",""))</f>
        <v>есть</v>
      </c>
      <c r="E174" s="317"/>
      <c r="F174" s="318">
        <f>IF(N('Провода цвета'!G39)&lt;=0,"по запросу",CHOOSE($K$3,IF(N('Провода цвета'!E39)&gt;0,N('Провода цвета'!E39),N('Провода цвета'!G39)),IF(N('Провода цвета'!F39)&gt;0,N('Провода цвета'!F39),N('Провода цвета'!G39)),N('Провода цвета'!G39)))</f>
        <v>1436.6</v>
      </c>
      <c r="G174" s="319" t="str">
        <f>IF(I174&lt;=0,"",IF(ISNUMBER(F174),I174*F174,"по запросу"))</f>
        <v/>
      </c>
      <c r="H174" s="320">
        <f>N('Провода цвета'!I39)</f>
        <v>0</v>
      </c>
      <c r="I174" s="320">
        <f>IF(N(E174)&gt;0,N(E174),H174)</f>
        <v>0</v>
      </c>
      <c r="J174" s="320">
        <f>I174*IF(N('Провода цвета'!E39)&gt;0,N('Провода цвета'!E39),N('Провода цвета'!G39))</f>
        <v>0</v>
      </c>
      <c r="K174" s="320">
        <f>I174*IF(N('Провода цвета'!F39)&gt;0,N('Провода цвета'!F39),N('Провода цвета'!G39))</f>
        <v>0</v>
      </c>
      <c r="L174" s="320">
        <f>N(L173)+(N(I174)&gt;0)</f>
        <v>0</v>
      </c>
    </row>
    <row r="175">
      <c r="A175" s="321" t="inlineStr">
        <is>
          <t xml:space="preserve">Провода цвета</t>
        </is>
      </c>
      <c r="B175" s="314" t="str">
        <f>'Провода цвета'!A40&amp;""</f>
        <v>PM 0,75 (B) бел.</v>
      </c>
      <c r="C175" s="315" t="str">
        <f>'Провода цвета'!B40&amp;""</f>
        <v>100м, сечение 0,75мм², CCA; белый</v>
      </c>
      <c r="D175" s="316" t="str">
        <f>IF('Провода цвета'!H40="+","есть",IF('Провода цвета'!H40="-","нет",""))</f>
        <v>есть</v>
      </c>
      <c r="E175" s="317"/>
      <c r="F175" s="318">
        <f>IF(N('Провода цвета'!G40)&lt;=0,"по запросу",CHOOSE($K$3,IF(N('Провода цвета'!E40)&gt;0,N('Провода цвета'!E40),N('Провода цвета'!G40)),IF(N('Провода цвета'!F40)&gt;0,N('Провода цвета'!F40),N('Провода цвета'!G40)),N('Провода цвета'!G40)))</f>
        <v>1436.6</v>
      </c>
      <c r="G175" s="319" t="str">
        <f>IF(I175&lt;=0,"",IF(ISNUMBER(F175),I175*F175,"по запросу"))</f>
        <v/>
      </c>
      <c r="H175" s="320">
        <f>N('Провода цвета'!I40)</f>
        <v>0</v>
      </c>
      <c r="I175" s="320">
        <f>IF(N(E175)&gt;0,N(E175),H175)</f>
        <v>0</v>
      </c>
      <c r="J175" s="320">
        <f>I175*IF(N('Провода цвета'!E40)&gt;0,N('Провода цвета'!E40),N('Провода цвета'!G40))</f>
        <v>0</v>
      </c>
      <c r="K175" s="320">
        <f>I175*IF(N('Провода цвета'!F40)&gt;0,N('Провода цвета'!F40),N('Провода цвета'!G40))</f>
        <v>0</v>
      </c>
      <c r="L175" s="320">
        <f>N(L174)+(N(I175)&gt;0)</f>
        <v>0</v>
      </c>
    </row>
    <row r="176">
      <c r="A176" s="321" t="inlineStr">
        <is>
          <t xml:space="preserve">Провода цвета</t>
        </is>
      </c>
      <c r="B176" s="314" t="str">
        <f>'Провода цвета'!A41&amp;""</f>
        <v>PM 0,75 (B) желт.</v>
      </c>
      <c r="C176" s="315" t="str">
        <f>'Провода цвета'!B41&amp;""</f>
        <v>100м, сечение 0,75мм², CCA; желтый</v>
      </c>
      <c r="D176" s="316" t="str">
        <f>IF('Провода цвета'!H41="+","есть",IF('Провода цвета'!H41="-","нет",""))</f>
        <v>нет</v>
      </c>
      <c r="E176" s="317"/>
      <c r="F176" s="318">
        <f>IF(N('Провода цвета'!G41)&lt;=0,"по запросу",CHOOSE($K$3,IF(N('Провода цвета'!E41)&gt;0,N('Провода цвета'!E41),N('Провода цвета'!G41)),IF(N('Провода цвета'!F41)&gt;0,N('Провода цвета'!F41),N('Провода цвета'!G41)),N('Провода цвета'!G41)))</f>
        <v>1436.6</v>
      </c>
      <c r="G176" s="319" t="str">
        <f>IF(I176&lt;=0,"",IF(ISNUMBER(F176),I176*F176,"по запросу"))</f>
        <v/>
      </c>
      <c r="H176" s="320">
        <f>N('Провода цвета'!I41)</f>
        <v>0</v>
      </c>
      <c r="I176" s="320">
        <f>IF(N(E176)&gt;0,N(E176),H176)</f>
        <v>0</v>
      </c>
      <c r="J176" s="320">
        <f>I176*IF(N('Провода цвета'!E41)&gt;0,N('Провода цвета'!E41),N('Провода цвета'!G41))</f>
        <v>0</v>
      </c>
      <c r="K176" s="320">
        <f>I176*IF(N('Провода цвета'!F41)&gt;0,N('Провода цвета'!F41),N('Провода цвета'!G41))</f>
        <v>0</v>
      </c>
      <c r="L176" s="320">
        <f>N(L175)+(N(I176)&gt;0)</f>
        <v>0</v>
      </c>
    </row>
    <row r="177">
      <c r="A177" s="321" t="inlineStr">
        <is>
          <t xml:space="preserve">Провода цвета</t>
        </is>
      </c>
      <c r="B177" s="314" t="str">
        <f>'Провода цвета'!A42&amp;""</f>
        <v>PM 0,75 (B) зелен.</v>
      </c>
      <c r="C177" s="315" t="str">
        <f>'Провода цвета'!B42&amp;""</f>
        <v>100м, сечение 0,75мм², CCA; зеленый</v>
      </c>
      <c r="D177" s="316" t="str">
        <f>IF('Провода цвета'!H42="+","есть",IF('Провода цвета'!H42="-","нет",""))</f>
        <v>нет</v>
      </c>
      <c r="E177" s="317"/>
      <c r="F177" s="318">
        <f>IF(N('Провода цвета'!G42)&lt;=0,"по запросу",CHOOSE($K$3,IF(N('Провода цвета'!E42)&gt;0,N('Провода цвета'!E42),N('Провода цвета'!G42)),IF(N('Провода цвета'!F42)&gt;0,N('Провода цвета'!F42),N('Провода цвета'!G42)),N('Провода цвета'!G42)))</f>
        <v>1436.6</v>
      </c>
      <c r="G177" s="319" t="str">
        <f>IF(I177&lt;=0,"",IF(ISNUMBER(F177),I177*F177,"по запросу"))</f>
        <v/>
      </c>
      <c r="H177" s="320">
        <f>N('Провода цвета'!I42)</f>
        <v>0</v>
      </c>
      <c r="I177" s="320">
        <f>IF(N(E177)&gt;0,N(E177),H177)</f>
        <v>0</v>
      </c>
      <c r="J177" s="320">
        <f>I177*IF(N('Провода цвета'!E42)&gt;0,N('Провода цвета'!E42),N('Провода цвета'!G42))</f>
        <v>0</v>
      </c>
      <c r="K177" s="320">
        <f>I177*IF(N('Провода цвета'!F42)&gt;0,N('Провода цвета'!F42),N('Провода цвета'!G42))</f>
        <v>0</v>
      </c>
      <c r="L177" s="320">
        <f>N(L176)+(N(I177)&gt;0)</f>
        <v>0</v>
      </c>
    </row>
    <row r="178">
      <c r="A178" s="321" t="inlineStr">
        <is>
          <t xml:space="preserve">Провода цвета</t>
        </is>
      </c>
      <c r="B178" s="314" t="str">
        <f>'Провода цвета'!A43&amp;""</f>
        <v>PM 0,75 (B) син.</v>
      </c>
      <c r="C178" s="315" t="str">
        <f>'Провода цвета'!B43&amp;""</f>
        <v>100м, сечение 0,75мм², CCA; синий</v>
      </c>
      <c r="D178" s="316" t="str">
        <f>IF('Провода цвета'!H43="+","есть",IF('Провода цвета'!H43="-","нет",""))</f>
        <v>нет</v>
      </c>
      <c r="E178" s="317"/>
      <c r="F178" s="318">
        <f>IF(N('Провода цвета'!G43)&lt;=0,"по запросу",CHOOSE($K$3,IF(N('Провода цвета'!E43)&gt;0,N('Провода цвета'!E43),N('Провода цвета'!G43)),IF(N('Провода цвета'!F43)&gt;0,N('Провода цвета'!F43),N('Провода цвета'!G43)),N('Провода цвета'!G43)))</f>
        <v>1436.6</v>
      </c>
      <c r="G178" s="319" t="str">
        <f>IF(I178&lt;=0,"",IF(ISNUMBER(F178),I178*F178,"по запросу"))</f>
        <v/>
      </c>
      <c r="H178" s="320">
        <f>N('Провода цвета'!I43)</f>
        <v>0</v>
      </c>
      <c r="I178" s="320">
        <f>IF(N(E178)&gt;0,N(E178),H178)</f>
        <v>0</v>
      </c>
      <c r="J178" s="320">
        <f>I178*IF(N('Провода цвета'!E43)&gt;0,N('Провода цвета'!E43),N('Провода цвета'!G43))</f>
        <v>0</v>
      </c>
      <c r="K178" s="320">
        <f>I178*IF(N('Провода цвета'!F43)&gt;0,N('Провода цвета'!F43),N('Провода цвета'!G43))</f>
        <v>0</v>
      </c>
      <c r="L178" s="320">
        <f>N(L177)+(N(I178)&gt;0)</f>
        <v>0</v>
      </c>
    </row>
    <row r="179">
      <c r="A179" s="321" t="inlineStr">
        <is>
          <t xml:space="preserve">Провода цвета</t>
        </is>
      </c>
      <c r="B179" s="314" t="str">
        <f>'Провода цвета'!A44&amp;""</f>
        <v>PM 0,75 (B) кор.</v>
      </c>
      <c r="C179" s="315" t="str">
        <f>'Провода цвета'!B44&amp;""</f>
        <v>100м, сечение 0,75мм², CCA; коричневый</v>
      </c>
      <c r="D179" s="316" t="str">
        <f>IF('Провода цвета'!H44="+","есть",IF('Провода цвета'!H44="-","нет",""))</f>
        <v>есть</v>
      </c>
      <c r="E179" s="317"/>
      <c r="F179" s="318">
        <f>IF(N('Провода цвета'!G44)&lt;=0,"по запросу",CHOOSE($K$3,IF(N('Провода цвета'!E44)&gt;0,N('Провода цвета'!E44),N('Провода цвета'!G44)),IF(N('Провода цвета'!F44)&gt;0,N('Провода цвета'!F44),N('Провода цвета'!G44)),N('Провода цвета'!G44)))</f>
        <v>1436.6</v>
      </c>
      <c r="G179" s="319" t="str">
        <f>IF(I179&lt;=0,"",IF(ISNUMBER(F179),I179*F179,"по запросу"))</f>
        <v/>
      </c>
      <c r="H179" s="320">
        <f>N('Провода цвета'!I44)</f>
        <v>0</v>
      </c>
      <c r="I179" s="320">
        <f>IF(N(E179)&gt;0,N(E179),H179)</f>
        <v>0</v>
      </c>
      <c r="J179" s="320">
        <f>I179*IF(N('Провода цвета'!E44)&gt;0,N('Провода цвета'!E44),N('Провода цвета'!G44))</f>
        <v>0</v>
      </c>
      <c r="K179" s="320">
        <f>I179*IF(N('Провода цвета'!F44)&gt;0,N('Провода цвета'!F44),N('Провода цвета'!G44))</f>
        <v>0</v>
      </c>
      <c r="L179" s="320">
        <f>N(L178)+(N(I179)&gt;0)</f>
        <v>0</v>
      </c>
    </row>
    <row r="180">
      <c r="A180" s="321" t="inlineStr">
        <is>
          <t xml:space="preserve">Провода цвета</t>
        </is>
      </c>
      <c r="B180" s="314" t="str">
        <f>'Провода цвета'!A45&amp;""</f>
        <v>PM 0,75 (B) сер.</v>
      </c>
      <c r="C180" s="315" t="str">
        <f>'Провода цвета'!B45&amp;""</f>
        <v>100м, сечение 0,75мм², CCA; серый</v>
      </c>
      <c r="D180" s="316" t="str">
        <f>IF('Провода цвета'!H45="+","есть",IF('Провода цвета'!H45="-","нет",""))</f>
        <v>есть</v>
      </c>
      <c r="E180" s="317"/>
      <c r="F180" s="318">
        <f>IF(N('Провода цвета'!G45)&lt;=0,"по запросу",CHOOSE($K$3,IF(N('Провода цвета'!E45)&gt;0,N('Провода цвета'!E45),N('Провода цвета'!G45)),IF(N('Провода цвета'!F45)&gt;0,N('Провода цвета'!F45),N('Провода цвета'!G45)),N('Провода цвета'!G45)))</f>
        <v>1436.6</v>
      </c>
      <c r="G180" s="319" t="str">
        <f>IF(I180&lt;=0,"",IF(ISNUMBER(F180),I180*F180,"по запросу"))</f>
        <v/>
      </c>
      <c r="H180" s="320">
        <f>N('Провода цвета'!I45)</f>
        <v>0</v>
      </c>
      <c r="I180" s="320">
        <f>IF(N(E180)&gt;0,N(E180),H180)</f>
        <v>0</v>
      </c>
      <c r="J180" s="320">
        <f>I180*IF(N('Провода цвета'!E45)&gt;0,N('Провода цвета'!E45),N('Провода цвета'!G45))</f>
        <v>0</v>
      </c>
      <c r="K180" s="320">
        <f>I180*IF(N('Провода цвета'!F45)&gt;0,N('Провода цвета'!F45),N('Провода цвета'!G45))</f>
        <v>0</v>
      </c>
      <c r="L180" s="320">
        <f>N(L179)+(N(I180)&gt;0)</f>
        <v>0</v>
      </c>
    </row>
    <row r="181">
      <c r="A181" s="321" t="inlineStr">
        <is>
          <t xml:space="preserve">Провода цвета</t>
        </is>
      </c>
      <c r="B181" s="314" t="str">
        <f>'Провода цвета'!A46&amp;""</f>
        <v>PM 0,75 (B) фиолет.</v>
      </c>
      <c r="C181" s="315" t="str">
        <f>'Провода цвета'!B46&amp;""</f>
        <v>100м, сечение 0,75мм², CCA; фиолетовый</v>
      </c>
      <c r="D181" s="316" t="str">
        <f>IF('Провода цвета'!H46="+","есть",IF('Провода цвета'!H46="-","нет",""))</f>
        <v>есть</v>
      </c>
      <c r="E181" s="317"/>
      <c r="F181" s="318">
        <f>IF(N('Провода цвета'!G46)&lt;=0,"по запросу",CHOOSE($K$3,IF(N('Провода цвета'!E46)&gt;0,N('Провода цвета'!E46),N('Провода цвета'!G46)),IF(N('Провода цвета'!F46)&gt;0,N('Провода цвета'!F46),N('Провода цвета'!G46)),N('Провода цвета'!G46)))</f>
        <v>1436.6</v>
      </c>
      <c r="G181" s="319" t="str">
        <f>IF(I181&lt;=0,"",IF(ISNUMBER(F181),I181*F181,"по запросу"))</f>
        <v/>
      </c>
      <c r="H181" s="320">
        <f>N('Провода цвета'!I46)</f>
        <v>0</v>
      </c>
      <c r="I181" s="320">
        <f>IF(N(E181)&gt;0,N(E181),H181)</f>
        <v>0</v>
      </c>
      <c r="J181" s="320">
        <f>I181*IF(N('Провода цвета'!E46)&gt;0,N('Провода цвета'!E46),N('Провода цвета'!G46))</f>
        <v>0</v>
      </c>
      <c r="K181" s="320">
        <f>I181*IF(N('Провода цвета'!F46)&gt;0,N('Провода цвета'!F46),N('Провода цвета'!G46))</f>
        <v>0</v>
      </c>
      <c r="L181" s="320">
        <f>N(L180)+(N(I181)&gt;0)</f>
        <v>0</v>
      </c>
    </row>
    <row r="182">
      <c r="A182" s="321" t="inlineStr">
        <is>
          <t xml:space="preserve">Провода цвета</t>
        </is>
      </c>
      <c r="B182" s="314" t="str">
        <f>'Провода цвета'!A47&amp;""</f>
        <v>PM 0,75 (B) черн.</v>
      </c>
      <c r="C182" s="315" t="str">
        <f>'Провода цвета'!B47&amp;""</f>
        <v>100м, сечение 0,75мм², CCA; черный</v>
      </c>
      <c r="D182" s="316" t="str">
        <f>IF('Провода цвета'!H47="+","есть",IF('Провода цвета'!H47="-","нет",""))</f>
        <v>есть</v>
      </c>
      <c r="E182" s="317"/>
      <c r="F182" s="318">
        <f>IF(N('Провода цвета'!G47)&lt;=0,"по запросу",CHOOSE($K$3,IF(N('Провода цвета'!E47)&gt;0,N('Провода цвета'!E47),N('Провода цвета'!G47)),IF(N('Провода цвета'!F47)&gt;0,N('Провода цвета'!F47),N('Провода цвета'!G47)),N('Провода цвета'!G47)))</f>
        <v>1436.6</v>
      </c>
      <c r="G182" s="319" t="str">
        <f>IF(I182&lt;=0,"",IF(ISNUMBER(F182),I182*F182,"по запросу"))</f>
        <v/>
      </c>
      <c r="H182" s="320">
        <f>N('Провода цвета'!I47)</f>
        <v>0</v>
      </c>
      <c r="I182" s="320">
        <f>IF(N(E182)&gt;0,N(E182),H182)</f>
        <v>0</v>
      </c>
      <c r="J182" s="320">
        <f>I182*IF(N('Провода цвета'!E47)&gt;0,N('Провода цвета'!E47),N('Провода цвета'!G47))</f>
        <v>0</v>
      </c>
      <c r="K182" s="320">
        <f>I182*IF(N('Провода цвета'!F47)&gt;0,N('Провода цвета'!F47),N('Провода цвета'!G47))</f>
        <v>0</v>
      </c>
      <c r="L182" s="320">
        <f>N(L181)+(N(I182)&gt;0)</f>
        <v>0</v>
      </c>
    </row>
    <row r="183">
      <c r="A183" s="321" t="inlineStr">
        <is>
          <t xml:space="preserve">Провода цвета</t>
        </is>
      </c>
      <c r="B183" s="314" t="str">
        <f>'Провода цвета'!A48&amp;""</f>
        <v>PM 1,0 красн. </v>
      </c>
      <c r="C183" s="315" t="str">
        <f>'Провода цвета'!B48&amp;""</f>
        <v>100м, сечение 1,0мм², Cu; красный</v>
      </c>
      <c r="D183" s="316" t="str">
        <f>IF('Провода цвета'!H48="+","есть",IF('Провода цвета'!H48="-","нет",""))</f>
        <v>есть</v>
      </c>
      <c r="E183" s="317"/>
      <c r="F183" s="318">
        <f>IF(N('Провода цвета'!G48)&lt;=0,"по запросу",CHOOSE($K$3,IF(N('Провода цвета'!E48)&gt;0,N('Провода цвета'!E48),N('Провода цвета'!G48)),IF(N('Провода цвета'!F48)&gt;0,N('Провода цвета'!F48),N('Провода цвета'!G48)),N('Провода цвета'!G48)))</f>
        <v>5387</v>
      </c>
      <c r="G183" s="319" t="str">
        <f>IF(I183&lt;=0,"",IF(ISNUMBER(F183),I183*F183,"по запросу"))</f>
        <v/>
      </c>
      <c r="H183" s="320">
        <f>N('Провода цвета'!I48)</f>
        <v>0</v>
      </c>
      <c r="I183" s="320">
        <f>IF(N(E183)&gt;0,N(E183),H183)</f>
        <v>0</v>
      </c>
      <c r="J183" s="320">
        <f>I183*IF(N('Провода цвета'!E48)&gt;0,N('Провода цвета'!E48),N('Провода цвета'!G48))</f>
        <v>0</v>
      </c>
      <c r="K183" s="320">
        <f>I183*IF(N('Провода цвета'!F48)&gt;0,N('Провода цвета'!F48),N('Провода цвета'!G48))</f>
        <v>0</v>
      </c>
      <c r="L183" s="320">
        <f>N(L182)+(N(I183)&gt;0)</f>
        <v>0</v>
      </c>
    </row>
    <row r="184">
      <c r="A184" s="321" t="inlineStr">
        <is>
          <t xml:space="preserve">Провода цвета</t>
        </is>
      </c>
      <c r="B184" s="314" t="str">
        <f>'Провода цвета'!A49&amp;""</f>
        <v>PM 1,0 желт.</v>
      </c>
      <c r="C184" s="315" t="str">
        <f>'Провода цвета'!B49&amp;""</f>
        <v>100м, сечение 1,0мм², Cu; желтый</v>
      </c>
      <c r="D184" s="316" t="str">
        <f>IF('Провода цвета'!H49="+","есть",IF('Провода цвета'!H49="-","нет",""))</f>
        <v>есть</v>
      </c>
      <c r="E184" s="317"/>
      <c r="F184" s="318">
        <f>IF(N('Провода цвета'!G49)&lt;=0,"по запросу",CHOOSE($K$3,IF(N('Провода цвета'!E49)&gt;0,N('Провода цвета'!E49),N('Провода цвета'!G49)),IF(N('Провода цвета'!F49)&gt;0,N('Провода цвета'!F49),N('Провода цвета'!G49)),N('Провода цвета'!G49)))</f>
        <v>5387</v>
      </c>
      <c r="G184" s="319" t="str">
        <f>IF(I184&lt;=0,"",IF(ISNUMBER(F184),I184*F184,"по запросу"))</f>
        <v/>
      </c>
      <c r="H184" s="320">
        <f>N('Провода цвета'!I49)</f>
        <v>0</v>
      </c>
      <c r="I184" s="320">
        <f>IF(N(E184)&gt;0,N(E184),H184)</f>
        <v>0</v>
      </c>
      <c r="J184" s="320">
        <f>I184*IF(N('Провода цвета'!E49)&gt;0,N('Провода цвета'!E49),N('Провода цвета'!G49))</f>
        <v>0</v>
      </c>
      <c r="K184" s="320">
        <f>I184*IF(N('Провода цвета'!F49)&gt;0,N('Провода цвета'!F49),N('Провода цвета'!G49))</f>
        <v>0</v>
      </c>
      <c r="L184" s="320">
        <f>N(L183)+(N(I184)&gt;0)</f>
        <v>0</v>
      </c>
    </row>
    <row r="185">
      <c r="A185" s="321" t="inlineStr">
        <is>
          <t xml:space="preserve">Провода цвета</t>
        </is>
      </c>
      <c r="B185" s="314" t="str">
        <f>'Провода цвета'!A50&amp;""</f>
        <v>PM 1,0 зел. </v>
      </c>
      <c r="C185" s="315" t="str">
        <f>'Провода цвета'!B50&amp;""</f>
        <v>100м, сечение 1,0мм², Cu; зеленый</v>
      </c>
      <c r="D185" s="316" t="str">
        <f>IF('Провода цвета'!H50="+","есть",IF('Провода цвета'!H50="-","нет",""))</f>
        <v>есть</v>
      </c>
      <c r="E185" s="317"/>
      <c r="F185" s="318">
        <f>IF(N('Провода цвета'!G50)&lt;=0,"по запросу",CHOOSE($K$3,IF(N('Провода цвета'!E50)&gt;0,N('Провода цвета'!E50),N('Провода цвета'!G50)),IF(N('Провода цвета'!F50)&gt;0,N('Провода цвета'!F50),N('Провода цвета'!G50)),N('Провода цвета'!G50)))</f>
        <v>5387</v>
      </c>
      <c r="G185" s="319" t="str">
        <f>IF(I185&lt;=0,"",IF(ISNUMBER(F185),I185*F185,"по запросу"))</f>
        <v/>
      </c>
      <c r="H185" s="320">
        <f>N('Провода цвета'!I50)</f>
        <v>0</v>
      </c>
      <c r="I185" s="320">
        <f>IF(N(E185)&gt;0,N(E185),H185)</f>
        <v>0</v>
      </c>
      <c r="J185" s="320">
        <f>I185*IF(N('Провода цвета'!E50)&gt;0,N('Провода цвета'!E50),N('Провода цвета'!G50))</f>
        <v>0</v>
      </c>
      <c r="K185" s="320">
        <f>I185*IF(N('Провода цвета'!F50)&gt;0,N('Провода цвета'!F50),N('Провода цвета'!G50))</f>
        <v>0</v>
      </c>
      <c r="L185" s="320">
        <f>N(L184)+(N(I185)&gt;0)</f>
        <v>0</v>
      </c>
    </row>
    <row r="186">
      <c r="A186" s="321" t="inlineStr">
        <is>
          <t xml:space="preserve">Провода цвета</t>
        </is>
      </c>
      <c r="B186" s="314" t="str">
        <f>'Провода цвета'!A51&amp;""</f>
        <v>PM 1,0 син. </v>
      </c>
      <c r="C186" s="315" t="str">
        <f>'Провода цвета'!B51&amp;""</f>
        <v>100м, сечение 1,0мм², Cu; синий</v>
      </c>
      <c r="D186" s="316" t="str">
        <f>IF('Провода цвета'!H51="+","есть",IF('Провода цвета'!H51="-","нет",""))</f>
        <v>есть</v>
      </c>
      <c r="E186" s="317"/>
      <c r="F186" s="318">
        <f>IF(N('Провода цвета'!G51)&lt;=0,"по запросу",CHOOSE($K$3,IF(N('Провода цвета'!E51)&gt;0,N('Провода цвета'!E51),N('Провода цвета'!G51)),IF(N('Провода цвета'!F51)&gt;0,N('Провода цвета'!F51),N('Провода цвета'!G51)),N('Провода цвета'!G51)))</f>
        <v>5387</v>
      </c>
      <c r="G186" s="319" t="str">
        <f>IF(I186&lt;=0,"",IF(ISNUMBER(F186),I186*F186,"по запросу"))</f>
        <v/>
      </c>
      <c r="H186" s="320">
        <f>N('Провода цвета'!I51)</f>
        <v>0</v>
      </c>
      <c r="I186" s="320">
        <f>IF(N(E186)&gt;0,N(E186),H186)</f>
        <v>0</v>
      </c>
      <c r="J186" s="320">
        <f>I186*IF(N('Провода цвета'!E51)&gt;0,N('Провода цвета'!E51),N('Провода цвета'!G51))</f>
        <v>0</v>
      </c>
      <c r="K186" s="320">
        <f>I186*IF(N('Провода цвета'!F51)&gt;0,N('Провода цвета'!F51),N('Провода цвета'!G51))</f>
        <v>0</v>
      </c>
      <c r="L186" s="320">
        <f>N(L185)+(N(I186)&gt;0)</f>
        <v>0</v>
      </c>
    </row>
    <row r="187">
      <c r="A187" s="321" t="inlineStr">
        <is>
          <t xml:space="preserve">Провода цвета</t>
        </is>
      </c>
      <c r="B187" s="314" t="str">
        <f>'Провода цвета'!A52&amp;""</f>
        <v>PM 1,0 кор. </v>
      </c>
      <c r="C187" s="315" t="str">
        <f>'Провода цвета'!B52&amp;""</f>
        <v>100м, сечение 1,0мм², Cu; коричневый</v>
      </c>
      <c r="D187" s="316" t="str">
        <f>IF('Провода цвета'!H52="+","есть",IF('Провода цвета'!H52="-","нет",""))</f>
        <v>есть</v>
      </c>
      <c r="E187" s="317"/>
      <c r="F187" s="318">
        <f>IF(N('Провода цвета'!G52)&lt;=0,"по запросу",CHOOSE($K$3,IF(N('Провода цвета'!E52)&gt;0,N('Провода цвета'!E52),N('Провода цвета'!G52)),IF(N('Провода цвета'!F52)&gt;0,N('Провода цвета'!F52),N('Провода цвета'!G52)),N('Провода цвета'!G52)))</f>
        <v>5387</v>
      </c>
      <c r="G187" s="319" t="str">
        <f>IF(I187&lt;=0,"",IF(ISNUMBER(F187),I187*F187,"по запросу"))</f>
        <v/>
      </c>
      <c r="H187" s="320">
        <f>N('Провода цвета'!I52)</f>
        <v>0</v>
      </c>
      <c r="I187" s="320">
        <f>IF(N(E187)&gt;0,N(E187),H187)</f>
        <v>0</v>
      </c>
      <c r="J187" s="320">
        <f>I187*IF(N('Провода цвета'!E52)&gt;0,N('Провода цвета'!E52),N('Провода цвета'!G52))</f>
        <v>0</v>
      </c>
      <c r="K187" s="320">
        <f>I187*IF(N('Провода цвета'!F52)&gt;0,N('Провода цвета'!F52),N('Провода цвета'!G52))</f>
        <v>0</v>
      </c>
      <c r="L187" s="320">
        <f>N(L186)+(N(I187)&gt;0)</f>
        <v>0</v>
      </c>
    </row>
    <row r="188">
      <c r="A188" s="321" t="inlineStr">
        <is>
          <t xml:space="preserve">Провода цвета</t>
        </is>
      </c>
      <c r="B188" s="314" t="str">
        <f>'Провода цвета'!A53&amp;""</f>
        <v>PM 1,0 черн.</v>
      </c>
      <c r="C188" s="315" t="str">
        <f>'Провода цвета'!B53&amp;""</f>
        <v>100м, сечение 1,0мм², Cu; черный</v>
      </c>
      <c r="D188" s="316" t="str">
        <f>IF('Провода цвета'!H53="+","есть",IF('Провода цвета'!H53="-","нет",""))</f>
        <v>есть</v>
      </c>
      <c r="E188" s="317"/>
      <c r="F188" s="318">
        <f>IF(N('Провода цвета'!G53)&lt;=0,"по запросу",CHOOSE($K$3,IF(N('Провода цвета'!E53)&gt;0,N('Провода цвета'!E53),N('Провода цвета'!G53)),IF(N('Провода цвета'!F53)&gt;0,N('Провода цвета'!F53),N('Провода цвета'!G53)),N('Провода цвета'!G53)))</f>
        <v>5387</v>
      </c>
      <c r="G188" s="319" t="str">
        <f>IF(I188&lt;=0,"",IF(ISNUMBER(F188),I188*F188,"по запросу"))</f>
        <v/>
      </c>
      <c r="H188" s="320">
        <f>N('Провода цвета'!I53)</f>
        <v>0</v>
      </c>
      <c r="I188" s="320">
        <f>IF(N(E188)&gt;0,N(E188),H188)</f>
        <v>0</v>
      </c>
      <c r="J188" s="320">
        <f>I188*IF(N('Провода цвета'!E53)&gt;0,N('Провода цвета'!E53),N('Провода цвета'!G53))</f>
        <v>0</v>
      </c>
      <c r="K188" s="320">
        <f>I188*IF(N('Провода цвета'!F53)&gt;0,N('Провода цвета'!F53),N('Провода цвета'!G53))</f>
        <v>0</v>
      </c>
      <c r="L188" s="320">
        <f>N(L187)+(N(I188)&gt;0)</f>
        <v>0</v>
      </c>
    </row>
    <row r="189">
      <c r="A189" s="321" t="inlineStr">
        <is>
          <t xml:space="preserve">Провода цвета</t>
        </is>
      </c>
      <c r="B189" s="314" t="str">
        <f>'Провода цвета'!A54&amp;""</f>
        <v>PM 1,0 (B) красн.</v>
      </c>
      <c r="C189" s="315" t="str">
        <f>'Провода цвета'!B54&amp;""</f>
        <v>100м, сечение 1,0мм², CCA; красный</v>
      </c>
      <c r="D189" s="316" t="str">
        <f>IF('Провода цвета'!H54="+","есть",IF('Провода цвета'!H54="-","нет",""))</f>
        <v>есть</v>
      </c>
      <c r="E189" s="317"/>
      <c r="F189" s="318">
        <f>IF(N('Провода цвета'!G54)&lt;=0,"по запросу",CHOOSE($K$3,IF(N('Провода цвета'!E54)&gt;0,N('Провода цвета'!E54),N('Провода цвета'!G54)),IF(N('Провода цвета'!F54)&gt;0,N('Провода цвета'!F54),N('Провода цвета'!G54)),N('Провода цвета'!G54)))</f>
        <v>1945.8</v>
      </c>
      <c r="G189" s="319" t="str">
        <f>IF(I189&lt;=0,"",IF(ISNUMBER(F189),I189*F189,"по запросу"))</f>
        <v/>
      </c>
      <c r="H189" s="320">
        <f>N('Провода цвета'!I54)</f>
        <v>0</v>
      </c>
      <c r="I189" s="320">
        <f>IF(N(E189)&gt;0,N(E189),H189)</f>
        <v>0</v>
      </c>
      <c r="J189" s="320">
        <f>I189*IF(N('Провода цвета'!E54)&gt;0,N('Провода цвета'!E54),N('Провода цвета'!G54))</f>
        <v>0</v>
      </c>
      <c r="K189" s="320">
        <f>I189*IF(N('Провода цвета'!F54)&gt;0,N('Провода цвета'!F54),N('Провода цвета'!G54))</f>
        <v>0</v>
      </c>
      <c r="L189" s="320">
        <f>N(L188)+(N(I189)&gt;0)</f>
        <v>0</v>
      </c>
    </row>
    <row r="190">
      <c r="A190" s="321" t="inlineStr">
        <is>
          <t xml:space="preserve">Провода цвета</t>
        </is>
      </c>
      <c r="B190" s="314" t="str">
        <f>'Провода цвета'!A55&amp;""</f>
        <v>PM 1,0 (B) желт.</v>
      </c>
      <c r="C190" s="315" t="str">
        <f>'Провода цвета'!B55&amp;""</f>
        <v>100м, сечение 1,0мм², CCA; желтый</v>
      </c>
      <c r="D190" s="316" t="str">
        <f>IF('Провода цвета'!H55="+","есть",IF('Провода цвета'!H55="-","нет",""))</f>
        <v>есть</v>
      </c>
      <c r="E190" s="317"/>
      <c r="F190" s="318">
        <f>IF(N('Провода цвета'!G55)&lt;=0,"по запросу",CHOOSE($K$3,IF(N('Провода цвета'!E55)&gt;0,N('Провода цвета'!E55),N('Провода цвета'!G55)),IF(N('Провода цвета'!F55)&gt;0,N('Провода цвета'!F55),N('Провода цвета'!G55)),N('Провода цвета'!G55)))</f>
        <v>1945.8</v>
      </c>
      <c r="G190" s="319" t="str">
        <f>IF(I190&lt;=0,"",IF(ISNUMBER(F190),I190*F190,"по запросу"))</f>
        <v/>
      </c>
      <c r="H190" s="320">
        <f>N('Провода цвета'!I55)</f>
        <v>0</v>
      </c>
      <c r="I190" s="320">
        <f>IF(N(E190)&gt;0,N(E190),H190)</f>
        <v>0</v>
      </c>
      <c r="J190" s="320">
        <f>I190*IF(N('Провода цвета'!E55)&gt;0,N('Провода цвета'!E55),N('Провода цвета'!G55))</f>
        <v>0</v>
      </c>
      <c r="K190" s="320">
        <f>I190*IF(N('Провода цвета'!F55)&gt;0,N('Провода цвета'!F55),N('Провода цвета'!G55))</f>
        <v>0</v>
      </c>
      <c r="L190" s="320">
        <f>N(L189)+(N(I190)&gt;0)</f>
        <v>0</v>
      </c>
    </row>
    <row r="191">
      <c r="A191" s="321" t="inlineStr">
        <is>
          <t xml:space="preserve">Провода цвета</t>
        </is>
      </c>
      <c r="B191" s="314" t="str">
        <f>'Провода цвета'!A56&amp;""</f>
        <v>PM 1,0 (B) зелен.</v>
      </c>
      <c r="C191" s="315" t="str">
        <f>'Провода цвета'!B56&amp;""</f>
        <v>100м, сечение 1,0мм², CCA; зеленый</v>
      </c>
      <c r="D191" s="316" t="str">
        <f>IF('Провода цвета'!H56="+","есть",IF('Провода цвета'!H56="-","нет",""))</f>
        <v>нет</v>
      </c>
      <c r="E191" s="317"/>
      <c r="F191" s="318">
        <f>IF(N('Провода цвета'!G56)&lt;=0,"по запросу",CHOOSE($K$3,IF(N('Провода цвета'!E56)&gt;0,N('Провода цвета'!E56),N('Провода цвета'!G56)),IF(N('Провода цвета'!F56)&gt;0,N('Провода цвета'!F56),N('Провода цвета'!G56)),N('Провода цвета'!G56)))</f>
        <v>1945.8</v>
      </c>
      <c r="G191" s="319" t="str">
        <f>IF(I191&lt;=0,"",IF(ISNUMBER(F191),I191*F191,"по запросу"))</f>
        <v/>
      </c>
      <c r="H191" s="320">
        <f>N('Провода цвета'!I56)</f>
        <v>0</v>
      </c>
      <c r="I191" s="320">
        <f>IF(N(E191)&gt;0,N(E191),H191)</f>
        <v>0</v>
      </c>
      <c r="J191" s="320">
        <f>I191*IF(N('Провода цвета'!E56)&gt;0,N('Провода цвета'!E56),N('Провода цвета'!G56))</f>
        <v>0</v>
      </c>
      <c r="K191" s="320">
        <f>I191*IF(N('Провода цвета'!F56)&gt;0,N('Провода цвета'!F56),N('Провода цвета'!G56))</f>
        <v>0</v>
      </c>
      <c r="L191" s="320">
        <f>N(L190)+(N(I191)&gt;0)</f>
        <v>0</v>
      </c>
    </row>
    <row r="192">
      <c r="A192" s="321" t="inlineStr">
        <is>
          <t xml:space="preserve">Провода цвета</t>
        </is>
      </c>
      <c r="B192" s="314" t="str">
        <f>'Провода цвета'!A57&amp;""</f>
        <v>PM 1,0 (B) син.</v>
      </c>
      <c r="C192" s="315" t="str">
        <f>'Провода цвета'!B57&amp;""</f>
        <v>100м, сечение 1,0мм², CCA; синий</v>
      </c>
      <c r="D192" s="316" t="str">
        <f>IF('Провода цвета'!H57="+","есть",IF('Провода цвета'!H57="-","нет",""))</f>
        <v>есть</v>
      </c>
      <c r="E192" s="317"/>
      <c r="F192" s="318">
        <f>IF(N('Провода цвета'!G57)&lt;=0,"по запросу",CHOOSE($K$3,IF(N('Провода цвета'!E57)&gt;0,N('Провода цвета'!E57),N('Провода цвета'!G57)),IF(N('Провода цвета'!F57)&gt;0,N('Провода цвета'!F57),N('Провода цвета'!G57)),N('Провода цвета'!G57)))</f>
        <v>1945.8</v>
      </c>
      <c r="G192" s="319" t="str">
        <f>IF(I192&lt;=0,"",IF(ISNUMBER(F192),I192*F192,"по запросу"))</f>
        <v/>
      </c>
      <c r="H192" s="320">
        <f>N('Провода цвета'!I57)</f>
        <v>0</v>
      </c>
      <c r="I192" s="320">
        <f>IF(N(E192)&gt;0,N(E192),H192)</f>
        <v>0</v>
      </c>
      <c r="J192" s="320">
        <f>I192*IF(N('Провода цвета'!E57)&gt;0,N('Провода цвета'!E57),N('Провода цвета'!G57))</f>
        <v>0</v>
      </c>
      <c r="K192" s="320">
        <f>I192*IF(N('Провода цвета'!F57)&gt;0,N('Провода цвета'!F57),N('Провода цвета'!G57))</f>
        <v>0</v>
      </c>
      <c r="L192" s="320">
        <f>N(L191)+(N(I192)&gt;0)</f>
        <v>0</v>
      </c>
    </row>
    <row r="193">
      <c r="A193" s="321" t="inlineStr">
        <is>
          <t xml:space="preserve">Провода цвета</t>
        </is>
      </c>
      <c r="B193" s="314" t="str">
        <f>'Провода цвета'!A58&amp;""</f>
        <v>PM 1,0 (B) кор.</v>
      </c>
      <c r="C193" s="315" t="str">
        <f>'Провода цвета'!B58&amp;""</f>
        <v>100м, сечение 1,0мм², CCA; коричневый</v>
      </c>
      <c r="D193" s="316" t="str">
        <f>IF('Провода цвета'!H58="+","есть",IF('Провода цвета'!H58="-","нет",""))</f>
        <v>есть</v>
      </c>
      <c r="E193" s="317"/>
      <c r="F193" s="318">
        <f>IF(N('Провода цвета'!G58)&lt;=0,"по запросу",CHOOSE($K$3,IF(N('Провода цвета'!E58)&gt;0,N('Провода цвета'!E58),N('Провода цвета'!G58)),IF(N('Провода цвета'!F58)&gt;0,N('Провода цвета'!F58),N('Провода цвета'!G58)),N('Провода цвета'!G58)))</f>
        <v>1945.8</v>
      </c>
      <c r="G193" s="319" t="str">
        <f>IF(I193&lt;=0,"",IF(ISNUMBER(F193),I193*F193,"по запросу"))</f>
        <v/>
      </c>
      <c r="H193" s="320">
        <f>N('Провода цвета'!I58)</f>
        <v>0</v>
      </c>
      <c r="I193" s="320">
        <f>IF(N(E193)&gt;0,N(E193),H193)</f>
        <v>0</v>
      </c>
      <c r="J193" s="320">
        <f>I193*IF(N('Провода цвета'!E58)&gt;0,N('Провода цвета'!E58),N('Провода цвета'!G58))</f>
        <v>0</v>
      </c>
      <c r="K193" s="320">
        <f>I193*IF(N('Провода цвета'!F58)&gt;0,N('Провода цвета'!F58),N('Провода цвета'!G58))</f>
        <v>0</v>
      </c>
      <c r="L193" s="320">
        <f>N(L192)+(N(I193)&gt;0)</f>
        <v>0</v>
      </c>
    </row>
    <row r="194">
      <c r="A194" s="321" t="inlineStr">
        <is>
          <t xml:space="preserve">Провода цвета</t>
        </is>
      </c>
      <c r="B194" s="314" t="str">
        <f>'Провода цвета'!A59&amp;""</f>
        <v>PM 1,0 (B) черн.</v>
      </c>
      <c r="C194" s="315" t="str">
        <f>'Провода цвета'!B59&amp;""</f>
        <v>100м, сечение 1,0мм², CCA; черный</v>
      </c>
      <c r="D194" s="316" t="str">
        <f>IF('Провода цвета'!H59="+","есть",IF('Провода цвета'!H59="-","нет",""))</f>
        <v>есть</v>
      </c>
      <c r="E194" s="317"/>
      <c r="F194" s="318">
        <f>IF(N('Провода цвета'!G59)&lt;=0,"по запросу",CHOOSE($K$3,IF(N('Провода цвета'!E59)&gt;0,N('Провода цвета'!E59),N('Провода цвета'!G59)),IF(N('Провода цвета'!F59)&gt;0,N('Провода цвета'!F59),N('Провода цвета'!G59)),N('Провода цвета'!G59)))</f>
        <v>1945.8</v>
      </c>
      <c r="G194" s="319" t="str">
        <f>IF(I194&lt;=0,"",IF(ISNUMBER(F194),I194*F194,"по запросу"))</f>
        <v/>
      </c>
      <c r="H194" s="320">
        <f>N('Провода цвета'!I59)</f>
        <v>0</v>
      </c>
      <c r="I194" s="320">
        <f>IF(N(E194)&gt;0,N(E194),H194)</f>
        <v>0</v>
      </c>
      <c r="J194" s="320">
        <f>I194*IF(N('Провода цвета'!E59)&gt;0,N('Провода цвета'!E59),N('Провода цвета'!G59))</f>
        <v>0</v>
      </c>
      <c r="K194" s="320">
        <f>I194*IF(N('Провода цвета'!F59)&gt;0,N('Провода цвета'!F59),N('Провода цвета'!G59))</f>
        <v>0</v>
      </c>
      <c r="L194" s="320">
        <f>N(L193)+(N(I194)&gt;0)</f>
        <v>0</v>
      </c>
    </row>
    <row r="195">
      <c r="A195" s="321" t="inlineStr">
        <is>
          <t xml:space="preserve">Провода цвета</t>
        </is>
      </c>
      <c r="B195" s="314" t="str">
        <f>'Провода цвета'!A60&amp;""</f>
        <v>PM 1,25 черн.</v>
      </c>
      <c r="C195" s="315" t="str">
        <f>'Провода цвета'!B60&amp;""</f>
        <v>100м, сечение 1,25мм², Cu; черный</v>
      </c>
      <c r="D195" s="316" t="str">
        <f>IF('Провода цвета'!H60="+","есть",IF('Провода цвета'!H60="-","нет",""))</f>
        <v>есть</v>
      </c>
      <c r="E195" s="317"/>
      <c r="F195" s="318">
        <f>IF(N('Провода цвета'!G60)&lt;=0,"по запросу",CHOOSE($K$3,IF(N('Провода цвета'!E60)&gt;0,N('Провода цвета'!E60),N('Провода цвета'!G60)),IF(N('Провода цвета'!F60)&gt;0,N('Провода цвета'!F60),N('Провода цвета'!G60)),N('Провода цвета'!G60)))</f>
        <v>6733.2</v>
      </c>
      <c r="G195" s="319" t="str">
        <f>IF(I195&lt;=0,"",IF(ISNUMBER(F195),I195*F195,"по запросу"))</f>
        <v/>
      </c>
      <c r="H195" s="320">
        <f>N('Провода цвета'!I60)</f>
        <v>0</v>
      </c>
      <c r="I195" s="320">
        <f>IF(N(E195)&gt;0,N(E195),H195)</f>
        <v>0</v>
      </c>
      <c r="J195" s="320">
        <f>I195*IF(N('Провода цвета'!E60)&gt;0,N('Провода цвета'!E60),N('Провода цвета'!G60))</f>
        <v>0</v>
      </c>
      <c r="K195" s="320">
        <f>I195*IF(N('Провода цвета'!F60)&gt;0,N('Провода цвета'!F60),N('Провода цвета'!G60))</f>
        <v>0</v>
      </c>
      <c r="L195" s="320">
        <f>N(L194)+(N(I195)&gt;0)</f>
        <v>0</v>
      </c>
    </row>
    <row r="196">
      <c r="A196" s="321" t="inlineStr">
        <is>
          <t xml:space="preserve">Провода цвета</t>
        </is>
      </c>
      <c r="B196" s="314" t="str">
        <f>'Провода цвета'!A61&amp;""</f>
        <v>PM 1,25 (B) красн.</v>
      </c>
      <c r="C196" s="315" t="str">
        <f>'Провода цвета'!B61&amp;""</f>
        <v>100м, сечение 1,25мм², CCA; красный</v>
      </c>
      <c r="D196" s="316" t="str">
        <f>IF('Провода цвета'!H61="+","есть",IF('Провода цвета'!H61="-","нет",""))</f>
        <v>есть</v>
      </c>
      <c r="E196" s="317"/>
      <c r="F196" s="318">
        <f>IF(N('Провода цвета'!G61)&lt;=0,"по запросу",CHOOSE($K$3,IF(N('Провода цвета'!E61)&gt;0,N('Провода цвета'!E61),N('Провода цвета'!G61)),IF(N('Провода цвета'!F61)&gt;0,N('Провода цвета'!F61),N('Провода цвета'!G61)),N('Провода цвета'!G61)))</f>
        <v>2224.9</v>
      </c>
      <c r="G196" s="319" t="str">
        <f>IF(I196&lt;=0,"",IF(ISNUMBER(F196),I196*F196,"по запросу"))</f>
        <v/>
      </c>
      <c r="H196" s="320">
        <f>N('Провода цвета'!I61)</f>
        <v>0</v>
      </c>
      <c r="I196" s="320">
        <f>IF(N(E196)&gt;0,N(E196),H196)</f>
        <v>0</v>
      </c>
      <c r="J196" s="320">
        <f>I196*IF(N('Провода цвета'!E61)&gt;0,N('Провода цвета'!E61),N('Провода цвета'!G61))</f>
        <v>0</v>
      </c>
      <c r="K196" s="320">
        <f>I196*IF(N('Провода цвета'!F61)&gt;0,N('Провода цвета'!F61),N('Провода цвета'!G61))</f>
        <v>0</v>
      </c>
      <c r="L196" s="320">
        <f>N(L195)+(N(I196)&gt;0)</f>
        <v>0</v>
      </c>
    </row>
    <row r="197">
      <c r="A197" s="321" t="inlineStr">
        <is>
          <t xml:space="preserve">Провода цвета</t>
        </is>
      </c>
      <c r="B197" s="314" t="str">
        <f>'Провода цвета'!A62&amp;""</f>
        <v>PM 1,25 (B) желт.</v>
      </c>
      <c r="C197" s="315" t="str">
        <f>'Провода цвета'!B62&amp;""</f>
        <v>100м, сечение 1,25мм², CCA; желтый</v>
      </c>
      <c r="D197" s="316" t="str">
        <f>IF('Провода цвета'!H62="+","есть",IF('Провода цвета'!H62="-","нет",""))</f>
        <v>есть</v>
      </c>
      <c r="E197" s="317"/>
      <c r="F197" s="318">
        <f>IF(N('Провода цвета'!G62)&lt;=0,"по запросу",CHOOSE($K$3,IF(N('Провода цвета'!E62)&gt;0,N('Провода цвета'!E62),N('Провода цвета'!G62)),IF(N('Провода цвета'!F62)&gt;0,N('Провода цвета'!F62),N('Провода цвета'!G62)),N('Провода цвета'!G62)))</f>
        <v>2224.9</v>
      </c>
      <c r="G197" s="319" t="str">
        <f>IF(I197&lt;=0,"",IF(ISNUMBER(F197),I197*F197,"по запросу"))</f>
        <v/>
      </c>
      <c r="H197" s="320">
        <f>N('Провода цвета'!I62)</f>
        <v>0</v>
      </c>
      <c r="I197" s="320">
        <f>IF(N(E197)&gt;0,N(E197),H197)</f>
        <v>0</v>
      </c>
      <c r="J197" s="320">
        <f>I197*IF(N('Провода цвета'!E62)&gt;0,N('Провода цвета'!E62),N('Провода цвета'!G62))</f>
        <v>0</v>
      </c>
      <c r="K197" s="320">
        <f>I197*IF(N('Провода цвета'!F62)&gt;0,N('Провода цвета'!F62),N('Провода цвета'!G62))</f>
        <v>0</v>
      </c>
      <c r="L197" s="320">
        <f>N(L196)+(N(I197)&gt;0)</f>
        <v>0</v>
      </c>
    </row>
    <row r="198">
      <c r="A198" s="321" t="inlineStr">
        <is>
          <t xml:space="preserve">Провода цвета</t>
        </is>
      </c>
      <c r="B198" s="314" t="str">
        <f>'Провода цвета'!A63&amp;""</f>
        <v>PM 1,25 (B) зелен.</v>
      </c>
      <c r="C198" s="315" t="str">
        <f>'Провода цвета'!B63&amp;""</f>
        <v>100м, сечение 1,25мм², CCA; зеленый</v>
      </c>
      <c r="D198" s="316" t="str">
        <f>IF('Провода цвета'!H63="+","есть",IF('Провода цвета'!H63="-","нет",""))</f>
        <v>есть</v>
      </c>
      <c r="E198" s="317"/>
      <c r="F198" s="318">
        <f>IF(N('Провода цвета'!G63)&lt;=0,"по запросу",CHOOSE($K$3,IF(N('Провода цвета'!E63)&gt;0,N('Провода цвета'!E63),N('Провода цвета'!G63)),IF(N('Провода цвета'!F63)&gt;0,N('Провода цвета'!F63),N('Провода цвета'!G63)),N('Провода цвета'!G63)))</f>
        <v>2224.9</v>
      </c>
      <c r="G198" s="319" t="str">
        <f>IF(I198&lt;=0,"",IF(ISNUMBER(F198),I198*F198,"по запросу"))</f>
        <v/>
      </c>
      <c r="H198" s="320">
        <f>N('Провода цвета'!I63)</f>
        <v>0</v>
      </c>
      <c r="I198" s="320">
        <f>IF(N(E198)&gt;0,N(E198),H198)</f>
        <v>0</v>
      </c>
      <c r="J198" s="320">
        <f>I198*IF(N('Провода цвета'!E63)&gt;0,N('Провода цвета'!E63),N('Провода цвета'!G63))</f>
        <v>0</v>
      </c>
      <c r="K198" s="320">
        <f>I198*IF(N('Провода цвета'!F63)&gt;0,N('Провода цвета'!F63),N('Провода цвета'!G63))</f>
        <v>0</v>
      </c>
      <c r="L198" s="320">
        <f>N(L197)+(N(I198)&gt;0)</f>
        <v>0</v>
      </c>
    </row>
    <row r="199">
      <c r="A199" s="321" t="inlineStr">
        <is>
          <t xml:space="preserve">Провода цвета</t>
        </is>
      </c>
      <c r="B199" s="314" t="str">
        <f>'Провода цвета'!A64&amp;""</f>
        <v>PM 1,25 (B) син.</v>
      </c>
      <c r="C199" s="315" t="str">
        <f>'Провода цвета'!B64&amp;""</f>
        <v>100м, сечение 1,25мм², CCA; синий</v>
      </c>
      <c r="D199" s="316" t="str">
        <f>IF('Провода цвета'!H64="+","есть",IF('Провода цвета'!H64="-","нет",""))</f>
        <v>есть</v>
      </c>
      <c r="E199" s="317"/>
      <c r="F199" s="318">
        <f>IF(N('Провода цвета'!G64)&lt;=0,"по запросу",CHOOSE($K$3,IF(N('Провода цвета'!E64)&gt;0,N('Провода цвета'!E64),N('Провода цвета'!G64)),IF(N('Провода цвета'!F64)&gt;0,N('Провода цвета'!F64),N('Провода цвета'!G64)),N('Провода цвета'!G64)))</f>
        <v>2224.9</v>
      </c>
      <c r="G199" s="319" t="str">
        <f>IF(I199&lt;=0,"",IF(ISNUMBER(F199),I199*F199,"по запросу"))</f>
        <v/>
      </c>
      <c r="H199" s="320">
        <f>N('Провода цвета'!I64)</f>
        <v>0</v>
      </c>
      <c r="I199" s="320">
        <f>IF(N(E199)&gt;0,N(E199),H199)</f>
        <v>0</v>
      </c>
      <c r="J199" s="320">
        <f>I199*IF(N('Провода цвета'!E64)&gt;0,N('Провода цвета'!E64),N('Провода цвета'!G64))</f>
        <v>0</v>
      </c>
      <c r="K199" s="320">
        <f>I199*IF(N('Провода цвета'!F64)&gt;0,N('Провода цвета'!F64),N('Провода цвета'!G64))</f>
        <v>0</v>
      </c>
      <c r="L199" s="320">
        <f>N(L198)+(N(I199)&gt;0)</f>
        <v>0</v>
      </c>
    </row>
    <row r="200">
      <c r="A200" s="321" t="inlineStr">
        <is>
          <t xml:space="preserve">Провода цвета</t>
        </is>
      </c>
      <c r="B200" s="314" t="str">
        <f>'Провода цвета'!A65&amp;""</f>
        <v>PM 1,25 (B) кор.</v>
      </c>
      <c r="C200" s="315" t="str">
        <f>'Провода цвета'!B65&amp;""</f>
        <v>100м, сечение 1,25мм², CCA; коричневый</v>
      </c>
      <c r="D200" s="316" t="str">
        <f>IF('Провода цвета'!H65="+","есть",IF('Провода цвета'!H65="-","нет",""))</f>
        <v>есть</v>
      </c>
      <c r="E200" s="317"/>
      <c r="F200" s="318">
        <f>IF(N('Провода цвета'!G65)&lt;=0,"по запросу",CHOOSE($K$3,IF(N('Провода цвета'!E65)&gt;0,N('Провода цвета'!E65),N('Провода цвета'!G65)),IF(N('Провода цвета'!F65)&gt;0,N('Провода цвета'!F65),N('Провода цвета'!G65)),N('Провода цвета'!G65)))</f>
        <v>2224.9</v>
      </c>
      <c r="G200" s="319" t="str">
        <f>IF(I200&lt;=0,"",IF(ISNUMBER(F200),I200*F200,"по запросу"))</f>
        <v/>
      </c>
      <c r="H200" s="320">
        <f>N('Провода цвета'!I65)</f>
        <v>0</v>
      </c>
      <c r="I200" s="320">
        <f>IF(N(E200)&gt;0,N(E200),H200)</f>
        <v>0</v>
      </c>
      <c r="J200" s="320">
        <f>I200*IF(N('Провода цвета'!E65)&gt;0,N('Провода цвета'!E65),N('Провода цвета'!G65))</f>
        <v>0</v>
      </c>
      <c r="K200" s="320">
        <f>I200*IF(N('Провода цвета'!F65)&gt;0,N('Провода цвета'!F65),N('Провода цвета'!G65))</f>
        <v>0</v>
      </c>
      <c r="L200" s="320">
        <f>N(L199)+(N(I200)&gt;0)</f>
        <v>0</v>
      </c>
    </row>
    <row r="201">
      <c r="A201" s="321" t="inlineStr">
        <is>
          <t xml:space="preserve">Провода цвета</t>
        </is>
      </c>
      <c r="B201" s="314" t="str">
        <f>'Провода цвета'!A66&amp;""</f>
        <v>PM 1,25 (B) черн.</v>
      </c>
      <c r="C201" s="315" t="str">
        <f>'Провода цвета'!B66&amp;""</f>
        <v>100м, сечение 1,25мм², CCA; черный</v>
      </c>
      <c r="D201" s="316" t="str">
        <f>IF('Провода цвета'!H66="+","есть",IF('Провода цвета'!H66="-","нет",""))</f>
        <v>есть</v>
      </c>
      <c r="E201" s="317"/>
      <c r="F201" s="318">
        <f>IF(N('Провода цвета'!G66)&lt;=0,"по запросу",CHOOSE($K$3,IF(N('Провода цвета'!E66)&gt;0,N('Провода цвета'!E66),N('Провода цвета'!G66)),IF(N('Провода цвета'!F66)&gt;0,N('Провода цвета'!F66),N('Провода цвета'!G66)),N('Провода цвета'!G66)))</f>
        <v>2224.9</v>
      </c>
      <c r="G201" s="319" t="str">
        <f>IF(I201&lt;=0,"",IF(ISNUMBER(F201),I201*F201,"по запросу"))</f>
        <v/>
      </c>
      <c r="H201" s="320">
        <f>N('Провода цвета'!I66)</f>
        <v>0</v>
      </c>
      <c r="I201" s="320">
        <f>IF(N(E201)&gt;0,N(E201),H201)</f>
        <v>0</v>
      </c>
      <c r="J201" s="320">
        <f>I201*IF(N('Провода цвета'!E66)&gt;0,N('Провода цвета'!E66),N('Провода цвета'!G66))</f>
        <v>0</v>
      </c>
      <c r="K201" s="320">
        <f>I201*IF(N('Провода цвета'!F66)&gt;0,N('Провода цвета'!F66),N('Провода цвета'!G66))</f>
        <v>0</v>
      </c>
      <c r="L201" s="320">
        <f>N(L200)+(N(I201)&gt;0)</f>
        <v>0</v>
      </c>
    </row>
    <row r="202">
      <c r="A202" s="321" t="inlineStr">
        <is>
          <t xml:space="preserve">Провода цвета</t>
        </is>
      </c>
      <c r="B202" s="314" t="str">
        <f>'Провода цвета'!A67&amp;""</f>
        <v>PM 1,5 красн. </v>
      </c>
      <c r="C202" s="315" t="str">
        <f>'Провода цвета'!B67&amp;""</f>
        <v>100м, сечение 1,5мм², Cu; красный</v>
      </c>
      <c r="D202" s="316" t="str">
        <f>IF('Провода цвета'!H67="+","есть",IF('Провода цвета'!H67="-","нет",""))</f>
        <v>есть</v>
      </c>
      <c r="E202" s="317"/>
      <c r="F202" s="318">
        <f>IF(N('Провода цвета'!G67)&lt;=0,"по запросу",CHOOSE($K$3,IF(N('Провода цвета'!E67)&gt;0,N('Провода цвета'!E67),N('Провода цвета'!G67)),IF(N('Провода цвета'!F67)&gt;0,N('Провода цвета'!F67),N('Провода цвета'!G67)),N('Провода цвета'!G67)))</f>
        <v>8081.8</v>
      </c>
      <c r="G202" s="319" t="str">
        <f>IF(I202&lt;=0,"",IF(ISNUMBER(F202),I202*F202,"по запросу"))</f>
        <v/>
      </c>
      <c r="H202" s="320">
        <f>N('Провода цвета'!I67)</f>
        <v>0</v>
      </c>
      <c r="I202" s="320">
        <f>IF(N(E202)&gt;0,N(E202),H202)</f>
        <v>0</v>
      </c>
      <c r="J202" s="320">
        <f>I202*IF(N('Провода цвета'!E67)&gt;0,N('Провода цвета'!E67),N('Провода цвета'!G67))</f>
        <v>0</v>
      </c>
      <c r="K202" s="320">
        <f>I202*IF(N('Провода цвета'!F67)&gt;0,N('Провода цвета'!F67),N('Провода цвета'!G67))</f>
        <v>0</v>
      </c>
      <c r="L202" s="320">
        <f>N(L201)+(N(I202)&gt;0)</f>
        <v>0</v>
      </c>
    </row>
    <row r="203">
      <c r="A203" s="321" t="inlineStr">
        <is>
          <t xml:space="preserve">Провода цвета</t>
        </is>
      </c>
      <c r="B203" s="314" t="str">
        <f>'Провода цвета'!A68&amp;""</f>
        <v>PM 1,5 желт.</v>
      </c>
      <c r="C203" s="315" t="str">
        <f>'Провода цвета'!B68&amp;""</f>
        <v>100м, сечение 1,5мм², Cu; желтый</v>
      </c>
      <c r="D203" s="316" t="str">
        <f>IF('Провода цвета'!H68="+","есть",IF('Провода цвета'!H68="-","нет",""))</f>
        <v>есть</v>
      </c>
      <c r="E203" s="317"/>
      <c r="F203" s="318">
        <f>IF(N('Провода цвета'!G68)&lt;=0,"по запросу",CHOOSE($K$3,IF(N('Провода цвета'!E68)&gt;0,N('Провода цвета'!E68),N('Провода цвета'!G68)),IF(N('Провода цвета'!F68)&gt;0,N('Провода цвета'!F68),N('Провода цвета'!G68)),N('Провода цвета'!G68)))</f>
        <v>8081.8</v>
      </c>
      <c r="G203" s="319" t="str">
        <f>IF(I203&lt;=0,"",IF(ISNUMBER(F203),I203*F203,"по запросу"))</f>
        <v/>
      </c>
      <c r="H203" s="320">
        <f>N('Провода цвета'!I68)</f>
        <v>0</v>
      </c>
      <c r="I203" s="320">
        <f>IF(N(E203)&gt;0,N(E203),H203)</f>
        <v>0</v>
      </c>
      <c r="J203" s="320">
        <f>I203*IF(N('Провода цвета'!E68)&gt;0,N('Провода цвета'!E68),N('Провода цвета'!G68))</f>
        <v>0</v>
      </c>
      <c r="K203" s="320">
        <f>I203*IF(N('Провода цвета'!F68)&gt;0,N('Провода цвета'!F68),N('Провода цвета'!G68))</f>
        <v>0</v>
      </c>
      <c r="L203" s="320">
        <f>N(L202)+(N(I203)&gt;0)</f>
        <v>0</v>
      </c>
    </row>
    <row r="204">
      <c r="A204" s="321" t="inlineStr">
        <is>
          <t xml:space="preserve">Провода цвета</t>
        </is>
      </c>
      <c r="B204" s="314" t="str">
        <f>'Провода цвета'!A69&amp;""</f>
        <v>PM 1,5 син. </v>
      </c>
      <c r="C204" s="315" t="str">
        <f>'Провода цвета'!B69&amp;""</f>
        <v>100м, сечение 1,5мм², Cu; синий</v>
      </c>
      <c r="D204" s="316" t="str">
        <f>IF('Провода цвета'!H69="+","есть",IF('Провода цвета'!H69="-","нет",""))</f>
        <v>есть</v>
      </c>
      <c r="E204" s="317"/>
      <c r="F204" s="318">
        <f>IF(N('Провода цвета'!G69)&lt;=0,"по запросу",CHOOSE($K$3,IF(N('Провода цвета'!E69)&gt;0,N('Провода цвета'!E69),N('Провода цвета'!G69)),IF(N('Провода цвета'!F69)&gt;0,N('Провода цвета'!F69),N('Провода цвета'!G69)),N('Провода цвета'!G69)))</f>
        <v>8081.8</v>
      </c>
      <c r="G204" s="319" t="str">
        <f>IF(I204&lt;=0,"",IF(ISNUMBER(F204),I204*F204,"по запросу"))</f>
        <v/>
      </c>
      <c r="H204" s="320">
        <f>N('Провода цвета'!I69)</f>
        <v>0</v>
      </c>
      <c r="I204" s="320">
        <f>IF(N(E204)&gt;0,N(E204),H204)</f>
        <v>0</v>
      </c>
      <c r="J204" s="320">
        <f>I204*IF(N('Провода цвета'!E69)&gt;0,N('Провода цвета'!E69),N('Провода цвета'!G69))</f>
        <v>0</v>
      </c>
      <c r="K204" s="320">
        <f>I204*IF(N('Провода цвета'!F69)&gt;0,N('Провода цвета'!F69),N('Провода цвета'!G69))</f>
        <v>0</v>
      </c>
      <c r="L204" s="320">
        <f>N(L203)+(N(I204)&gt;0)</f>
        <v>0</v>
      </c>
    </row>
    <row r="205">
      <c r="A205" s="321" t="inlineStr">
        <is>
          <t xml:space="preserve">Провода цвета</t>
        </is>
      </c>
      <c r="B205" s="314" t="str">
        <f>'Провода цвета'!A70&amp;""</f>
        <v>PM 1,5 черн.</v>
      </c>
      <c r="C205" s="315" t="str">
        <f>'Провода цвета'!B70&amp;""</f>
        <v>100м, сечение 1,5мм², Cu; черный</v>
      </c>
      <c r="D205" s="316" t="str">
        <f>IF('Провода цвета'!H70="+","есть",IF('Провода цвета'!H70="-","нет",""))</f>
        <v>есть</v>
      </c>
      <c r="E205" s="317"/>
      <c r="F205" s="318">
        <f>IF(N('Провода цвета'!G70)&lt;=0,"по запросу",CHOOSE($K$3,IF(N('Провода цвета'!E70)&gt;0,N('Провода цвета'!E70),N('Провода цвета'!G70)),IF(N('Провода цвета'!F70)&gt;0,N('Провода цвета'!F70),N('Провода цвета'!G70)),N('Провода цвета'!G70)))</f>
        <v>8081.8</v>
      </c>
      <c r="G205" s="319" t="str">
        <f>IF(I205&lt;=0,"",IF(ISNUMBER(F205),I205*F205,"по запросу"))</f>
        <v/>
      </c>
      <c r="H205" s="320">
        <f>N('Провода цвета'!I70)</f>
        <v>0</v>
      </c>
      <c r="I205" s="320">
        <f>IF(N(E205)&gt;0,N(E205),H205)</f>
        <v>0</v>
      </c>
      <c r="J205" s="320">
        <f>I205*IF(N('Провода цвета'!E70)&gt;0,N('Провода цвета'!E70),N('Провода цвета'!G70))</f>
        <v>0</v>
      </c>
      <c r="K205" s="320">
        <f>I205*IF(N('Провода цвета'!F70)&gt;0,N('Провода цвета'!F70),N('Провода цвета'!G70))</f>
        <v>0</v>
      </c>
      <c r="L205" s="320">
        <f>N(L204)+(N(I205)&gt;0)</f>
        <v>0</v>
      </c>
    </row>
    <row r="206">
      <c r="A206" s="321" t="inlineStr">
        <is>
          <t xml:space="preserve">Провода цвета</t>
        </is>
      </c>
      <c r="B206" s="314" t="str">
        <f>'Провода цвета'!A71&amp;""</f>
        <v>PM 1,5 (B) красн.</v>
      </c>
      <c r="C206" s="315" t="str">
        <f>'Провода цвета'!B71&amp;""</f>
        <v>100м, сечение 1,5мм², CCA; красный</v>
      </c>
      <c r="D206" s="316" t="str">
        <f>IF('Провода цвета'!H71="+","есть",IF('Провода цвета'!H71="-","нет",""))</f>
        <v>есть</v>
      </c>
      <c r="E206" s="317"/>
      <c r="F206" s="318">
        <f>IF(N('Провода цвета'!G71)&lt;=0,"по запросу",CHOOSE($K$3,IF(N('Провода цвета'!E71)&gt;0,N('Провода цвета'!E71),N('Провода цвета'!G71)),IF(N('Провода цвета'!F71)&gt;0,N('Провода цвета'!F71),N('Провода цвета'!G71)),N('Провода цвета'!G71)))</f>
        <v>2563.2</v>
      </c>
      <c r="G206" s="319" t="str">
        <f>IF(I206&lt;=0,"",IF(ISNUMBER(F206),I206*F206,"по запросу"))</f>
        <v/>
      </c>
      <c r="H206" s="320">
        <f>N('Провода цвета'!I71)</f>
        <v>0</v>
      </c>
      <c r="I206" s="320">
        <f>IF(N(E206)&gt;0,N(E206),H206)</f>
        <v>0</v>
      </c>
      <c r="J206" s="320">
        <f>I206*IF(N('Провода цвета'!E71)&gt;0,N('Провода цвета'!E71),N('Провода цвета'!G71))</f>
        <v>0</v>
      </c>
      <c r="K206" s="320">
        <f>I206*IF(N('Провода цвета'!F71)&gt;0,N('Провода цвета'!F71),N('Провода цвета'!G71))</f>
        <v>0</v>
      </c>
      <c r="L206" s="320">
        <f>N(L205)+(N(I206)&gt;0)</f>
        <v>0</v>
      </c>
    </row>
    <row r="207">
      <c r="A207" s="321" t="inlineStr">
        <is>
          <t xml:space="preserve">Провода цвета</t>
        </is>
      </c>
      <c r="B207" s="314" t="str">
        <f>'Провода цвета'!A72&amp;""</f>
        <v>PM 1,5 (B) оранж.</v>
      </c>
      <c r="C207" s="315" t="str">
        <f>'Провода цвета'!B72&amp;""</f>
        <v>100м, сечение 1,5мм², CCA; оранжевый</v>
      </c>
      <c r="D207" s="316" t="str">
        <f>IF('Провода цвета'!H72="+","есть",IF('Провода цвета'!H72="-","нет",""))</f>
        <v>есть</v>
      </c>
      <c r="E207" s="317"/>
      <c r="F207" s="318">
        <f>IF(N('Провода цвета'!G72)&lt;=0,"по запросу",CHOOSE($K$3,IF(N('Провода цвета'!E72)&gt;0,N('Провода цвета'!E72),N('Провода цвета'!G72)),IF(N('Провода цвета'!F72)&gt;0,N('Провода цвета'!F72),N('Провода цвета'!G72)),N('Провода цвета'!G72)))</f>
        <v>2563.2</v>
      </c>
      <c r="G207" s="319" t="str">
        <f>IF(I207&lt;=0,"",IF(ISNUMBER(F207),I207*F207,"по запросу"))</f>
        <v/>
      </c>
      <c r="H207" s="320">
        <f>N('Провода цвета'!I72)</f>
        <v>0</v>
      </c>
      <c r="I207" s="320">
        <f>IF(N(E207)&gt;0,N(E207),H207)</f>
        <v>0</v>
      </c>
      <c r="J207" s="320">
        <f>I207*IF(N('Провода цвета'!E72)&gt;0,N('Провода цвета'!E72),N('Провода цвета'!G72))</f>
        <v>0</v>
      </c>
      <c r="K207" s="320">
        <f>I207*IF(N('Провода цвета'!F72)&gt;0,N('Провода цвета'!F72),N('Провода цвета'!G72))</f>
        <v>0</v>
      </c>
      <c r="L207" s="320">
        <f>N(L206)+(N(I207)&gt;0)</f>
        <v>0</v>
      </c>
    </row>
    <row r="208">
      <c r="A208" s="321" t="inlineStr">
        <is>
          <t xml:space="preserve">Провода цвета</t>
        </is>
      </c>
      <c r="B208" s="314" t="str">
        <f>'Провода цвета'!A73&amp;""</f>
        <v>PM 1,5 (B) бел.</v>
      </c>
      <c r="C208" s="315" t="str">
        <f>'Провода цвета'!B73&amp;""</f>
        <v>100м, сечение 1,5мм², CCA; белый</v>
      </c>
      <c r="D208" s="316" t="str">
        <f>IF('Провода цвета'!H73="+","есть",IF('Провода цвета'!H73="-","нет",""))</f>
        <v>есть</v>
      </c>
      <c r="E208" s="317"/>
      <c r="F208" s="318">
        <f>IF(N('Провода цвета'!G73)&lt;=0,"по запросу",CHOOSE($K$3,IF(N('Провода цвета'!E73)&gt;0,N('Провода цвета'!E73),N('Провода цвета'!G73)),IF(N('Провода цвета'!F73)&gt;0,N('Провода цвета'!F73),N('Провода цвета'!G73)),N('Провода цвета'!G73)))</f>
        <v>2563.2</v>
      </c>
      <c r="G208" s="319" t="str">
        <f>IF(I208&lt;=0,"",IF(ISNUMBER(F208),I208*F208,"по запросу"))</f>
        <v/>
      </c>
      <c r="H208" s="320">
        <f>N('Провода цвета'!I73)</f>
        <v>0</v>
      </c>
      <c r="I208" s="320">
        <f>IF(N(E208)&gt;0,N(E208),H208)</f>
        <v>0</v>
      </c>
      <c r="J208" s="320">
        <f>I208*IF(N('Провода цвета'!E73)&gt;0,N('Провода цвета'!E73),N('Провода цвета'!G73))</f>
        <v>0</v>
      </c>
      <c r="K208" s="320">
        <f>I208*IF(N('Провода цвета'!F73)&gt;0,N('Провода цвета'!F73),N('Провода цвета'!G73))</f>
        <v>0</v>
      </c>
      <c r="L208" s="320">
        <f>N(L207)+(N(I208)&gt;0)</f>
        <v>0</v>
      </c>
    </row>
    <row r="209">
      <c r="A209" s="321" t="inlineStr">
        <is>
          <t xml:space="preserve">Провода цвета</t>
        </is>
      </c>
      <c r="B209" s="314" t="str">
        <f>'Провода цвета'!A74&amp;""</f>
        <v>PM 1,5 (B) желт.</v>
      </c>
      <c r="C209" s="315" t="str">
        <f>'Провода цвета'!B74&amp;""</f>
        <v>100м, сечение 1,5мм², CCA; желтый</v>
      </c>
      <c r="D209" s="316" t="str">
        <f>IF('Провода цвета'!H74="+","есть",IF('Провода цвета'!H74="-","нет",""))</f>
        <v>есть</v>
      </c>
      <c r="E209" s="317"/>
      <c r="F209" s="318">
        <f>IF(N('Провода цвета'!G74)&lt;=0,"по запросу",CHOOSE($K$3,IF(N('Провода цвета'!E74)&gt;0,N('Провода цвета'!E74),N('Провода цвета'!G74)),IF(N('Провода цвета'!F74)&gt;0,N('Провода цвета'!F74),N('Провода цвета'!G74)),N('Провода цвета'!G74)))</f>
        <v>2563.2</v>
      </c>
      <c r="G209" s="319" t="str">
        <f>IF(I209&lt;=0,"",IF(ISNUMBER(F209),I209*F209,"по запросу"))</f>
        <v/>
      </c>
      <c r="H209" s="320">
        <f>N('Провода цвета'!I74)</f>
        <v>0</v>
      </c>
      <c r="I209" s="320">
        <f>IF(N(E209)&gt;0,N(E209),H209)</f>
        <v>0</v>
      </c>
      <c r="J209" s="320">
        <f>I209*IF(N('Провода цвета'!E74)&gt;0,N('Провода цвета'!E74),N('Провода цвета'!G74))</f>
        <v>0</v>
      </c>
      <c r="K209" s="320">
        <f>I209*IF(N('Провода цвета'!F74)&gt;0,N('Провода цвета'!F74),N('Провода цвета'!G74))</f>
        <v>0</v>
      </c>
      <c r="L209" s="320">
        <f>N(L208)+(N(I209)&gt;0)</f>
        <v>0</v>
      </c>
    </row>
    <row r="210">
      <c r="A210" s="321" t="inlineStr">
        <is>
          <t xml:space="preserve">Провода цвета</t>
        </is>
      </c>
      <c r="B210" s="314" t="str">
        <f>'Провода цвета'!A75&amp;""</f>
        <v>PM 1,5 (B) зелен.</v>
      </c>
      <c r="C210" s="315" t="str">
        <f>'Провода цвета'!B75&amp;""</f>
        <v>100м, сечение 1,5мм², CCA; зеленый</v>
      </c>
      <c r="D210" s="316" t="str">
        <f>IF('Провода цвета'!H75="+","есть",IF('Провода цвета'!H75="-","нет",""))</f>
        <v>есть</v>
      </c>
      <c r="E210" s="317"/>
      <c r="F210" s="318">
        <f>IF(N('Провода цвета'!G75)&lt;=0,"по запросу",CHOOSE($K$3,IF(N('Провода цвета'!E75)&gt;0,N('Провода цвета'!E75),N('Провода цвета'!G75)),IF(N('Провода цвета'!F75)&gt;0,N('Провода цвета'!F75),N('Провода цвета'!G75)),N('Провода цвета'!G75)))</f>
        <v>2563.2</v>
      </c>
      <c r="G210" s="319" t="str">
        <f>IF(I210&lt;=0,"",IF(ISNUMBER(F210),I210*F210,"по запросу"))</f>
        <v/>
      </c>
      <c r="H210" s="320">
        <f>N('Провода цвета'!I75)</f>
        <v>0</v>
      </c>
      <c r="I210" s="320">
        <f>IF(N(E210)&gt;0,N(E210),H210)</f>
        <v>0</v>
      </c>
      <c r="J210" s="320">
        <f>I210*IF(N('Провода цвета'!E75)&gt;0,N('Провода цвета'!E75),N('Провода цвета'!G75))</f>
        <v>0</v>
      </c>
      <c r="K210" s="320">
        <f>I210*IF(N('Провода цвета'!F75)&gt;0,N('Провода цвета'!F75),N('Провода цвета'!G75))</f>
        <v>0</v>
      </c>
      <c r="L210" s="320">
        <f>N(L209)+(N(I210)&gt;0)</f>
        <v>0</v>
      </c>
    </row>
    <row r="211">
      <c r="A211" s="321" t="inlineStr">
        <is>
          <t xml:space="preserve">Провода цвета</t>
        </is>
      </c>
      <c r="B211" s="314" t="str">
        <f>'Провода цвета'!A76&amp;""</f>
        <v>PM 1,5 (B) син.</v>
      </c>
      <c r="C211" s="315" t="str">
        <f>'Провода цвета'!B76&amp;""</f>
        <v>100м, сечение 1,5мм², CCA; синий</v>
      </c>
      <c r="D211" s="316" t="str">
        <f>IF('Провода цвета'!H76="+","есть",IF('Провода цвета'!H76="-","нет",""))</f>
        <v>есть</v>
      </c>
      <c r="E211" s="317"/>
      <c r="F211" s="318">
        <f>IF(N('Провода цвета'!G76)&lt;=0,"по запросу",CHOOSE($K$3,IF(N('Провода цвета'!E76)&gt;0,N('Провода цвета'!E76),N('Провода цвета'!G76)),IF(N('Провода цвета'!F76)&gt;0,N('Провода цвета'!F76),N('Провода цвета'!G76)),N('Провода цвета'!G76)))</f>
        <v>2563.2</v>
      </c>
      <c r="G211" s="319" t="str">
        <f>IF(I211&lt;=0,"",IF(ISNUMBER(F211),I211*F211,"по запросу"))</f>
        <v/>
      </c>
      <c r="H211" s="320">
        <f>N('Провода цвета'!I76)</f>
        <v>0</v>
      </c>
      <c r="I211" s="320">
        <f>IF(N(E211)&gt;0,N(E211),H211)</f>
        <v>0</v>
      </c>
      <c r="J211" s="320">
        <f>I211*IF(N('Провода цвета'!E76)&gt;0,N('Провода цвета'!E76),N('Провода цвета'!G76))</f>
        <v>0</v>
      </c>
      <c r="K211" s="320">
        <f>I211*IF(N('Провода цвета'!F76)&gt;0,N('Провода цвета'!F76),N('Провода цвета'!G76))</f>
        <v>0</v>
      </c>
      <c r="L211" s="320">
        <f>N(L210)+(N(I211)&gt;0)</f>
        <v>0</v>
      </c>
    </row>
    <row r="212">
      <c r="A212" s="321" t="inlineStr">
        <is>
          <t xml:space="preserve">Провода цвета</t>
        </is>
      </c>
      <c r="B212" s="314" t="str">
        <f>'Провода цвета'!A77&amp;""</f>
        <v>PM 1,5 (B) кор.</v>
      </c>
      <c r="C212" s="315" t="str">
        <f>'Провода цвета'!B77&amp;""</f>
        <v>100м, сечение 1,5мм², CCA; коричневый</v>
      </c>
      <c r="D212" s="316" t="str">
        <f>IF('Провода цвета'!H77="+","есть",IF('Провода цвета'!H77="-","нет",""))</f>
        <v>есть</v>
      </c>
      <c r="E212" s="317"/>
      <c r="F212" s="318">
        <f>IF(N('Провода цвета'!G77)&lt;=0,"по запросу",CHOOSE($K$3,IF(N('Провода цвета'!E77)&gt;0,N('Провода цвета'!E77),N('Провода цвета'!G77)),IF(N('Провода цвета'!F77)&gt;0,N('Провода цвета'!F77),N('Провода цвета'!G77)),N('Провода цвета'!G77)))</f>
        <v>2563.2</v>
      </c>
      <c r="G212" s="319" t="str">
        <f>IF(I212&lt;=0,"",IF(ISNUMBER(F212),I212*F212,"по запросу"))</f>
        <v/>
      </c>
      <c r="H212" s="320">
        <f>N('Провода цвета'!I77)</f>
        <v>0</v>
      </c>
      <c r="I212" s="320">
        <f>IF(N(E212)&gt;0,N(E212),H212)</f>
        <v>0</v>
      </c>
      <c r="J212" s="320">
        <f>I212*IF(N('Провода цвета'!E77)&gt;0,N('Провода цвета'!E77),N('Провода цвета'!G77))</f>
        <v>0</v>
      </c>
      <c r="K212" s="320">
        <f>I212*IF(N('Провода цвета'!F77)&gt;0,N('Провода цвета'!F77),N('Провода цвета'!G77))</f>
        <v>0</v>
      </c>
      <c r="L212" s="320">
        <f>N(L211)+(N(I212)&gt;0)</f>
        <v>0</v>
      </c>
    </row>
    <row r="213">
      <c r="A213" s="321" t="inlineStr">
        <is>
          <t xml:space="preserve">Провода цвета</t>
        </is>
      </c>
      <c r="B213" s="314" t="str">
        <f>'Провода цвета'!A78&amp;""</f>
        <v>PM 1,5 (B) сер.</v>
      </c>
      <c r="C213" s="315" t="str">
        <f>'Провода цвета'!B78&amp;""</f>
        <v>100м, сечение 1,5мм², CCA; фиолетовый</v>
      </c>
      <c r="D213" s="316" t="str">
        <f>IF('Провода цвета'!H78="+","есть",IF('Провода цвета'!H78="-","нет",""))</f>
        <v>есть</v>
      </c>
      <c r="E213" s="317"/>
      <c r="F213" s="318">
        <f>IF(N('Провода цвета'!G78)&lt;=0,"по запросу",CHOOSE($K$3,IF(N('Провода цвета'!E78)&gt;0,N('Провода цвета'!E78),N('Провода цвета'!G78)),IF(N('Провода цвета'!F78)&gt;0,N('Провода цвета'!F78),N('Провода цвета'!G78)),N('Провода цвета'!G78)))</f>
        <v>2563.2</v>
      </c>
      <c r="G213" s="319" t="str">
        <f>IF(I213&lt;=0,"",IF(ISNUMBER(F213),I213*F213,"по запросу"))</f>
        <v/>
      </c>
      <c r="H213" s="320">
        <f>N('Провода цвета'!I78)</f>
        <v>0</v>
      </c>
      <c r="I213" s="320">
        <f>IF(N(E213)&gt;0,N(E213),H213)</f>
        <v>0</v>
      </c>
      <c r="J213" s="320">
        <f>I213*IF(N('Провода цвета'!E78)&gt;0,N('Провода цвета'!E78),N('Провода цвета'!G78))</f>
        <v>0</v>
      </c>
      <c r="K213" s="320">
        <f>I213*IF(N('Провода цвета'!F78)&gt;0,N('Провода цвета'!F78),N('Провода цвета'!G78))</f>
        <v>0</v>
      </c>
      <c r="L213" s="320">
        <f>N(L212)+(N(I213)&gt;0)</f>
        <v>0</v>
      </c>
    </row>
    <row r="214">
      <c r="A214" s="321" t="inlineStr">
        <is>
          <t xml:space="preserve">Провода цвета</t>
        </is>
      </c>
      <c r="B214" s="314" t="str">
        <f>'Провода цвета'!A79&amp;""</f>
        <v>PM 1,5 (B) черн.</v>
      </c>
      <c r="C214" s="315" t="str">
        <f>'Провода цвета'!B79&amp;""</f>
        <v>100м, сечение 1,5мм², CCA; черный</v>
      </c>
      <c r="D214" s="316" t="str">
        <f>IF('Провода цвета'!H79="+","есть",IF('Провода цвета'!H79="-","нет",""))</f>
        <v>есть</v>
      </c>
      <c r="E214" s="317"/>
      <c r="F214" s="318">
        <f>IF(N('Провода цвета'!G79)&lt;=0,"по запросу",CHOOSE($K$3,IF(N('Провода цвета'!E79)&gt;0,N('Провода цвета'!E79),N('Провода цвета'!G79)),IF(N('Провода цвета'!F79)&gt;0,N('Провода цвета'!F79),N('Провода цвета'!G79)),N('Провода цвета'!G79)))</f>
        <v>2563.2</v>
      </c>
      <c r="G214" s="319" t="str">
        <f>IF(I214&lt;=0,"",IF(ISNUMBER(F214),I214*F214,"по запросу"))</f>
        <v/>
      </c>
      <c r="H214" s="320">
        <f>N('Провода цвета'!I79)</f>
        <v>0</v>
      </c>
      <c r="I214" s="320">
        <f>IF(N(E214)&gt;0,N(E214),H214)</f>
        <v>0</v>
      </c>
      <c r="J214" s="320">
        <f>I214*IF(N('Провода цвета'!E79)&gt;0,N('Провода цвета'!E79),N('Провода цвета'!G79))</f>
        <v>0</v>
      </c>
      <c r="K214" s="320">
        <f>I214*IF(N('Провода цвета'!F79)&gt;0,N('Провода цвета'!F79),N('Провода цвета'!G79))</f>
        <v>0</v>
      </c>
      <c r="L214" s="320">
        <f>N(L213)+(N(I214)&gt;0)</f>
        <v>0</v>
      </c>
    </row>
    <row r="215">
      <c r="A215" s="321" t="inlineStr">
        <is>
          <t xml:space="preserve">Провода цвета</t>
        </is>
      </c>
      <c r="B215" s="314" t="str">
        <f>'Провода цвета'!A80&amp;""</f>
        <v>PM 2,0 красн. </v>
      </c>
      <c r="C215" s="315" t="str">
        <f>'Провода цвета'!B80&amp;""</f>
        <v>100м, сечение 2,0мм², Cu; красный</v>
      </c>
      <c r="D215" s="316" t="str">
        <f>IF('Провода цвета'!H80="+","есть",IF('Провода цвета'!H80="-","нет",""))</f>
        <v>есть</v>
      </c>
      <c r="E215" s="317"/>
      <c r="F215" s="318">
        <f>IF(N('Провода цвета'!G80)&lt;=0,"по запросу",CHOOSE($K$3,IF(N('Провода цвета'!E80)&gt;0,N('Провода цвета'!E80),N('Провода цвета'!G80)),IF(N('Провода цвета'!F80)&gt;0,N('Провода цвета'!F80),N('Провода цвета'!G80)),N('Провода цвета'!G80)))</f>
        <v>10774.6</v>
      </c>
      <c r="G215" s="319" t="str">
        <f>IF(I215&lt;=0,"",IF(ISNUMBER(F215),I215*F215,"по запросу"))</f>
        <v/>
      </c>
      <c r="H215" s="320">
        <f>N('Провода цвета'!I80)</f>
        <v>0</v>
      </c>
      <c r="I215" s="320">
        <f>IF(N(E215)&gt;0,N(E215),H215)</f>
        <v>0</v>
      </c>
      <c r="J215" s="320">
        <f>I215*IF(N('Провода цвета'!E80)&gt;0,N('Провода цвета'!E80),N('Провода цвета'!G80))</f>
        <v>0</v>
      </c>
      <c r="K215" s="320">
        <f>I215*IF(N('Провода цвета'!F80)&gt;0,N('Провода цвета'!F80),N('Провода цвета'!G80))</f>
        <v>0</v>
      </c>
      <c r="L215" s="320">
        <f>N(L214)+(N(I215)&gt;0)</f>
        <v>0</v>
      </c>
    </row>
    <row r="216">
      <c r="A216" s="321" t="inlineStr">
        <is>
          <t xml:space="preserve">Провода цвета</t>
        </is>
      </c>
      <c r="B216" s="314" t="str">
        <f>'Провода цвета'!A81&amp;""</f>
        <v>PM 2,0 желт.</v>
      </c>
      <c r="C216" s="315" t="str">
        <f>'Провода цвета'!B81&amp;""</f>
        <v>100м, сечение 2,0мм², Cu; желтый</v>
      </c>
      <c r="D216" s="316" t="str">
        <f>IF('Провода цвета'!H81="+","есть",IF('Провода цвета'!H81="-","нет",""))</f>
        <v>есть</v>
      </c>
      <c r="E216" s="317"/>
      <c r="F216" s="318">
        <f>IF(N('Провода цвета'!G81)&lt;=0,"по запросу",CHOOSE($K$3,IF(N('Провода цвета'!E81)&gt;0,N('Провода цвета'!E81),N('Провода цвета'!G81)),IF(N('Провода цвета'!F81)&gt;0,N('Провода цвета'!F81),N('Провода цвета'!G81)),N('Провода цвета'!G81)))</f>
        <v>10774.6</v>
      </c>
      <c r="G216" s="319" t="str">
        <f>IF(I216&lt;=0,"",IF(ISNUMBER(F216),I216*F216,"по запросу"))</f>
        <v/>
      </c>
      <c r="H216" s="320">
        <f>N('Провода цвета'!I81)</f>
        <v>0</v>
      </c>
      <c r="I216" s="320">
        <f>IF(N(E216)&gt;0,N(E216),H216)</f>
        <v>0</v>
      </c>
      <c r="J216" s="320">
        <f>I216*IF(N('Провода цвета'!E81)&gt;0,N('Провода цвета'!E81),N('Провода цвета'!G81))</f>
        <v>0</v>
      </c>
      <c r="K216" s="320">
        <f>I216*IF(N('Провода цвета'!F81)&gt;0,N('Провода цвета'!F81),N('Провода цвета'!G81))</f>
        <v>0</v>
      </c>
      <c r="L216" s="320">
        <f>N(L215)+(N(I216)&gt;0)</f>
        <v>0</v>
      </c>
    </row>
    <row r="217">
      <c r="A217" s="321" t="inlineStr">
        <is>
          <t xml:space="preserve">Провода цвета</t>
        </is>
      </c>
      <c r="B217" s="314" t="str">
        <f>'Провода цвета'!A82&amp;""</f>
        <v>PM 2,0 син. </v>
      </c>
      <c r="C217" s="315" t="str">
        <f>'Провода цвета'!B82&amp;""</f>
        <v>100м, сечение 2,0мм², Cu; синий</v>
      </c>
      <c r="D217" s="316" t="str">
        <f>IF('Провода цвета'!H82="+","есть",IF('Провода цвета'!H82="-","нет",""))</f>
        <v>есть</v>
      </c>
      <c r="E217" s="317"/>
      <c r="F217" s="318">
        <f>IF(N('Провода цвета'!G82)&lt;=0,"по запросу",CHOOSE($K$3,IF(N('Провода цвета'!E82)&gt;0,N('Провода цвета'!E82),N('Провода цвета'!G82)),IF(N('Провода цвета'!F82)&gt;0,N('Провода цвета'!F82),N('Провода цвета'!G82)),N('Провода цвета'!G82)))</f>
        <v>10774.6</v>
      </c>
      <c r="G217" s="319" t="str">
        <f>IF(I217&lt;=0,"",IF(ISNUMBER(F217),I217*F217,"по запросу"))</f>
        <v/>
      </c>
      <c r="H217" s="320">
        <f>N('Провода цвета'!I82)</f>
        <v>0</v>
      </c>
      <c r="I217" s="320">
        <f>IF(N(E217)&gt;0,N(E217),H217)</f>
        <v>0</v>
      </c>
      <c r="J217" s="320">
        <f>I217*IF(N('Провода цвета'!E82)&gt;0,N('Провода цвета'!E82),N('Провода цвета'!G82))</f>
        <v>0</v>
      </c>
      <c r="K217" s="320">
        <f>I217*IF(N('Провода цвета'!F82)&gt;0,N('Провода цвета'!F82),N('Провода цвета'!G82))</f>
        <v>0</v>
      </c>
      <c r="L217" s="320">
        <f>N(L216)+(N(I217)&gt;0)</f>
        <v>0</v>
      </c>
    </row>
    <row r="218">
      <c r="A218" s="321" t="inlineStr">
        <is>
          <t xml:space="preserve">Провода цвета</t>
        </is>
      </c>
      <c r="B218" s="314" t="str">
        <f>'Провода цвета'!A83&amp;""</f>
        <v>PM 2,0 черн.</v>
      </c>
      <c r="C218" s="315" t="str">
        <f>'Провода цвета'!B83&amp;""</f>
        <v>100м, сечение 2,0мм², Cu; черный</v>
      </c>
      <c r="D218" s="316" t="str">
        <f>IF('Провода цвета'!H83="+","есть",IF('Провода цвета'!H83="-","нет",""))</f>
        <v>есть</v>
      </c>
      <c r="E218" s="317"/>
      <c r="F218" s="318">
        <f>IF(N('Провода цвета'!G83)&lt;=0,"по запросу",CHOOSE($K$3,IF(N('Провода цвета'!E83)&gt;0,N('Провода цвета'!E83),N('Провода цвета'!G83)),IF(N('Провода цвета'!F83)&gt;0,N('Провода цвета'!F83),N('Провода цвета'!G83)),N('Провода цвета'!G83)))</f>
        <v>10774.6</v>
      </c>
      <c r="G218" s="319" t="str">
        <f>IF(I218&lt;=0,"",IF(ISNUMBER(F218),I218*F218,"по запросу"))</f>
        <v/>
      </c>
      <c r="H218" s="320">
        <f>N('Провода цвета'!I83)</f>
        <v>0</v>
      </c>
      <c r="I218" s="320">
        <f>IF(N(E218)&gt;0,N(E218),H218)</f>
        <v>0</v>
      </c>
      <c r="J218" s="320">
        <f>I218*IF(N('Провода цвета'!E83)&gt;0,N('Провода цвета'!E83),N('Провода цвета'!G83))</f>
        <v>0</v>
      </c>
      <c r="K218" s="320">
        <f>I218*IF(N('Провода цвета'!F83)&gt;0,N('Провода цвета'!F83),N('Провода цвета'!G83))</f>
        <v>0</v>
      </c>
      <c r="L218" s="320">
        <f>N(L217)+(N(I218)&gt;0)</f>
        <v>0</v>
      </c>
    </row>
    <row r="219">
      <c r="A219" s="321" t="inlineStr">
        <is>
          <t xml:space="preserve">Провода цвета</t>
        </is>
      </c>
      <c r="B219" s="314" t="str">
        <f>'Провода цвета'!A84&amp;""</f>
        <v>PM 2,0 (B) красн.</v>
      </c>
      <c r="C219" s="315" t="str">
        <f>'Провода цвета'!B84&amp;""</f>
        <v>100м, сечение 2,0мм², CCA; красный</v>
      </c>
      <c r="D219" s="316" t="str">
        <f>IF('Провода цвета'!H84="+","есть",IF('Провода цвета'!H84="-","нет",""))</f>
        <v>нет</v>
      </c>
      <c r="E219" s="317"/>
      <c r="F219" s="318">
        <f>IF(N('Провода цвета'!G84)&lt;=0,"по запросу",CHOOSE($K$3,IF(N('Провода цвета'!E84)&gt;0,N('Провода цвета'!E84),N('Провода цвета'!G84)),IF(N('Провода цвета'!F84)&gt;0,N('Провода цвета'!F84),N('Провода цвета'!G84)),N('Провода цвета'!G84)))</f>
        <v>3890.2</v>
      </c>
      <c r="G219" s="319" t="str">
        <f>IF(I219&lt;=0,"",IF(ISNUMBER(F219),I219*F219,"по запросу"))</f>
        <v/>
      </c>
      <c r="H219" s="320">
        <f>N('Провода цвета'!I84)</f>
        <v>0</v>
      </c>
      <c r="I219" s="320">
        <f>IF(N(E219)&gt;0,N(E219),H219)</f>
        <v>0</v>
      </c>
      <c r="J219" s="320">
        <f>I219*IF(N('Провода цвета'!E84)&gt;0,N('Провода цвета'!E84),N('Провода цвета'!G84))</f>
        <v>0</v>
      </c>
      <c r="K219" s="320">
        <f>I219*IF(N('Провода цвета'!F84)&gt;0,N('Провода цвета'!F84),N('Провода цвета'!G84))</f>
        <v>0</v>
      </c>
      <c r="L219" s="320">
        <f>N(L218)+(N(I219)&gt;0)</f>
        <v>0</v>
      </c>
    </row>
    <row r="220">
      <c r="A220" s="321" t="inlineStr">
        <is>
          <t xml:space="preserve">Провода цвета</t>
        </is>
      </c>
      <c r="B220" s="314" t="str">
        <f>'Провода цвета'!A85&amp;""</f>
        <v>PM 2,0 (B) оранж.</v>
      </c>
      <c r="C220" s="315" t="str">
        <f>'Провода цвета'!B85&amp;""</f>
        <v>100м, сечение 2,0мм², CCA; оранжевый</v>
      </c>
      <c r="D220" s="316" t="str">
        <f>IF('Провода цвета'!H85="+","есть",IF('Провода цвета'!H85="-","нет",""))</f>
        <v>есть</v>
      </c>
      <c r="E220" s="317"/>
      <c r="F220" s="318">
        <f>IF(N('Провода цвета'!G85)&lt;=0,"по запросу",CHOOSE($K$3,IF(N('Провода цвета'!E85)&gt;0,N('Провода цвета'!E85),N('Провода цвета'!G85)),IF(N('Провода цвета'!F85)&gt;0,N('Провода цвета'!F85),N('Провода цвета'!G85)),N('Провода цвета'!G85)))</f>
        <v>3890.2</v>
      </c>
      <c r="G220" s="319" t="str">
        <f>IF(I220&lt;=0,"",IF(ISNUMBER(F220),I220*F220,"по запросу"))</f>
        <v/>
      </c>
      <c r="H220" s="320">
        <f>N('Провода цвета'!I85)</f>
        <v>0</v>
      </c>
      <c r="I220" s="320">
        <f>IF(N(E220)&gt;0,N(E220),H220)</f>
        <v>0</v>
      </c>
      <c r="J220" s="320">
        <f>I220*IF(N('Провода цвета'!E85)&gt;0,N('Провода цвета'!E85),N('Провода цвета'!G85))</f>
        <v>0</v>
      </c>
      <c r="K220" s="320">
        <f>I220*IF(N('Провода цвета'!F85)&gt;0,N('Провода цвета'!F85),N('Провода цвета'!G85))</f>
        <v>0</v>
      </c>
      <c r="L220" s="320">
        <f>N(L219)+(N(I220)&gt;0)</f>
        <v>0</v>
      </c>
    </row>
    <row r="221">
      <c r="A221" s="321" t="inlineStr">
        <is>
          <t xml:space="preserve">Провода цвета</t>
        </is>
      </c>
      <c r="B221" s="314" t="str">
        <f>'Провода цвета'!A86&amp;""</f>
        <v>PM 2,0 (B) бел.</v>
      </c>
      <c r="C221" s="315" t="str">
        <f>'Провода цвета'!B86&amp;""</f>
        <v>100м, сечение 2,0мм², CCA; белый</v>
      </c>
      <c r="D221" s="316" t="str">
        <f>IF('Провода цвета'!H86="+","есть",IF('Провода цвета'!H86="-","нет",""))</f>
        <v>есть</v>
      </c>
      <c r="E221" s="317"/>
      <c r="F221" s="318">
        <f>IF(N('Провода цвета'!G86)&lt;=0,"по запросу",CHOOSE($K$3,IF(N('Провода цвета'!E86)&gt;0,N('Провода цвета'!E86),N('Провода цвета'!G86)),IF(N('Провода цвета'!F86)&gt;0,N('Провода цвета'!F86),N('Провода цвета'!G86)),N('Провода цвета'!G86)))</f>
        <v>3890.2</v>
      </c>
      <c r="G221" s="319" t="str">
        <f>IF(I221&lt;=0,"",IF(ISNUMBER(F221),I221*F221,"по запросу"))</f>
        <v/>
      </c>
      <c r="H221" s="320">
        <f>N('Провода цвета'!I86)</f>
        <v>0</v>
      </c>
      <c r="I221" s="320">
        <f>IF(N(E221)&gt;0,N(E221),H221)</f>
        <v>0</v>
      </c>
      <c r="J221" s="320">
        <f>I221*IF(N('Провода цвета'!E86)&gt;0,N('Провода цвета'!E86),N('Провода цвета'!G86))</f>
        <v>0</v>
      </c>
      <c r="K221" s="320">
        <f>I221*IF(N('Провода цвета'!F86)&gt;0,N('Провода цвета'!F86),N('Провода цвета'!G86))</f>
        <v>0</v>
      </c>
      <c r="L221" s="320">
        <f>N(L220)+(N(I221)&gt;0)</f>
        <v>0</v>
      </c>
    </row>
    <row r="222">
      <c r="A222" s="321" t="inlineStr">
        <is>
          <t xml:space="preserve">Провода цвета</t>
        </is>
      </c>
      <c r="B222" s="314" t="str">
        <f>'Провода цвета'!A87&amp;""</f>
        <v>PM 2,0 (B) желт.</v>
      </c>
      <c r="C222" s="315" t="str">
        <f>'Провода цвета'!B87&amp;""</f>
        <v>100м, сечение 2,0мм², CCA; желтый</v>
      </c>
      <c r="D222" s="316" t="str">
        <f>IF('Провода цвета'!H87="+","есть",IF('Провода цвета'!H87="-","нет",""))</f>
        <v>есть</v>
      </c>
      <c r="E222" s="317"/>
      <c r="F222" s="318">
        <f>IF(N('Провода цвета'!G87)&lt;=0,"по запросу",CHOOSE($K$3,IF(N('Провода цвета'!E87)&gt;0,N('Провода цвета'!E87),N('Провода цвета'!G87)),IF(N('Провода цвета'!F87)&gt;0,N('Провода цвета'!F87),N('Провода цвета'!G87)),N('Провода цвета'!G87)))</f>
        <v>3890.2</v>
      </c>
      <c r="G222" s="319" t="str">
        <f>IF(I222&lt;=0,"",IF(ISNUMBER(F222),I222*F222,"по запросу"))</f>
        <v/>
      </c>
      <c r="H222" s="320">
        <f>N('Провода цвета'!I87)</f>
        <v>0</v>
      </c>
      <c r="I222" s="320">
        <f>IF(N(E222)&gt;0,N(E222),H222)</f>
        <v>0</v>
      </c>
      <c r="J222" s="320">
        <f>I222*IF(N('Провода цвета'!E87)&gt;0,N('Провода цвета'!E87),N('Провода цвета'!G87))</f>
        <v>0</v>
      </c>
      <c r="K222" s="320">
        <f>I222*IF(N('Провода цвета'!F87)&gt;0,N('Провода цвета'!F87),N('Провода цвета'!G87))</f>
        <v>0</v>
      </c>
      <c r="L222" s="320">
        <f>N(L221)+(N(I222)&gt;0)</f>
        <v>0</v>
      </c>
    </row>
    <row r="223">
      <c r="A223" s="321" t="inlineStr">
        <is>
          <t xml:space="preserve">Провода цвета</t>
        </is>
      </c>
      <c r="B223" s="314" t="str">
        <f>'Провода цвета'!A88&amp;""</f>
        <v>PM 2,0 (B) зелен.</v>
      </c>
      <c r="C223" s="315" t="str">
        <f>'Провода цвета'!B88&amp;""</f>
        <v>100м, сечение 2,0мм², CCA; зеленый</v>
      </c>
      <c r="D223" s="316" t="str">
        <f>IF('Провода цвета'!H88="+","есть",IF('Провода цвета'!H88="-","нет",""))</f>
        <v>есть</v>
      </c>
      <c r="E223" s="317"/>
      <c r="F223" s="318">
        <f>IF(N('Провода цвета'!G88)&lt;=0,"по запросу",CHOOSE($K$3,IF(N('Провода цвета'!E88)&gt;0,N('Провода цвета'!E88),N('Провода цвета'!G88)),IF(N('Провода цвета'!F88)&gt;0,N('Провода цвета'!F88),N('Провода цвета'!G88)),N('Провода цвета'!G88)))</f>
        <v>3890.2</v>
      </c>
      <c r="G223" s="319" t="str">
        <f>IF(I223&lt;=0,"",IF(ISNUMBER(F223),I223*F223,"по запросу"))</f>
        <v/>
      </c>
      <c r="H223" s="320">
        <f>N('Провода цвета'!I88)</f>
        <v>0</v>
      </c>
      <c r="I223" s="320">
        <f>IF(N(E223)&gt;0,N(E223),H223)</f>
        <v>0</v>
      </c>
      <c r="J223" s="320">
        <f>I223*IF(N('Провода цвета'!E88)&gt;0,N('Провода цвета'!E88),N('Провода цвета'!G88))</f>
        <v>0</v>
      </c>
      <c r="K223" s="320">
        <f>I223*IF(N('Провода цвета'!F88)&gt;0,N('Провода цвета'!F88),N('Провода цвета'!G88))</f>
        <v>0</v>
      </c>
      <c r="L223" s="320">
        <f>N(L222)+(N(I223)&gt;0)</f>
        <v>0</v>
      </c>
    </row>
    <row r="224">
      <c r="A224" s="321" t="inlineStr">
        <is>
          <t xml:space="preserve">Провода цвета</t>
        </is>
      </c>
      <c r="B224" s="314" t="str">
        <f>'Провода цвета'!A89&amp;""</f>
        <v>PM 2,0 (B) син.</v>
      </c>
      <c r="C224" s="315" t="str">
        <f>'Провода цвета'!B89&amp;""</f>
        <v>100м, сечение 2,0мм², CCA; синий</v>
      </c>
      <c r="D224" s="316" t="str">
        <f>IF('Провода цвета'!H89="+","есть",IF('Провода цвета'!H89="-","нет",""))</f>
        <v>есть</v>
      </c>
      <c r="E224" s="317"/>
      <c r="F224" s="318">
        <f>IF(N('Провода цвета'!G89)&lt;=0,"по запросу",CHOOSE($K$3,IF(N('Провода цвета'!E89)&gt;0,N('Провода цвета'!E89),N('Провода цвета'!G89)),IF(N('Провода цвета'!F89)&gt;0,N('Провода цвета'!F89),N('Провода цвета'!G89)),N('Провода цвета'!G89)))</f>
        <v>3890.2</v>
      </c>
      <c r="G224" s="319" t="str">
        <f>IF(I224&lt;=0,"",IF(ISNUMBER(F224),I224*F224,"по запросу"))</f>
        <v/>
      </c>
      <c r="H224" s="320">
        <f>N('Провода цвета'!I89)</f>
        <v>0</v>
      </c>
      <c r="I224" s="320">
        <f>IF(N(E224)&gt;0,N(E224),H224)</f>
        <v>0</v>
      </c>
      <c r="J224" s="320">
        <f>I224*IF(N('Провода цвета'!E89)&gt;0,N('Провода цвета'!E89),N('Провода цвета'!G89))</f>
        <v>0</v>
      </c>
      <c r="K224" s="320">
        <f>I224*IF(N('Провода цвета'!F89)&gt;0,N('Провода цвета'!F89),N('Провода цвета'!G89))</f>
        <v>0</v>
      </c>
      <c r="L224" s="320">
        <f>N(L223)+(N(I224)&gt;0)</f>
        <v>0</v>
      </c>
    </row>
    <row r="225">
      <c r="A225" s="321" t="inlineStr">
        <is>
          <t xml:space="preserve">Провода цвета</t>
        </is>
      </c>
      <c r="B225" s="314" t="str">
        <f>'Провода цвета'!A90&amp;""</f>
        <v>PM 2,0 (B) кор.</v>
      </c>
      <c r="C225" s="315" t="str">
        <f>'Провода цвета'!B90&amp;""</f>
        <v>100м, сечение 2,0мм², CCA; коричневый</v>
      </c>
      <c r="D225" s="316" t="str">
        <f>IF('Провода цвета'!H90="+","есть",IF('Провода цвета'!H90="-","нет",""))</f>
        <v>есть</v>
      </c>
      <c r="E225" s="317"/>
      <c r="F225" s="318">
        <f>IF(N('Провода цвета'!G90)&lt;=0,"по запросу",CHOOSE($K$3,IF(N('Провода цвета'!E90)&gt;0,N('Провода цвета'!E90),N('Провода цвета'!G90)),IF(N('Провода цвета'!F90)&gt;0,N('Провода цвета'!F90),N('Провода цвета'!G90)),N('Провода цвета'!G90)))</f>
        <v>3890.2</v>
      </c>
      <c r="G225" s="319" t="str">
        <f>IF(I225&lt;=0,"",IF(ISNUMBER(F225),I225*F225,"по запросу"))</f>
        <v/>
      </c>
      <c r="H225" s="320">
        <f>N('Провода цвета'!I90)</f>
        <v>0</v>
      </c>
      <c r="I225" s="320">
        <f>IF(N(E225)&gt;0,N(E225),H225)</f>
        <v>0</v>
      </c>
      <c r="J225" s="320">
        <f>I225*IF(N('Провода цвета'!E90)&gt;0,N('Провода цвета'!E90),N('Провода цвета'!G90))</f>
        <v>0</v>
      </c>
      <c r="K225" s="320">
        <f>I225*IF(N('Провода цвета'!F90)&gt;0,N('Провода цвета'!F90),N('Провода цвета'!G90))</f>
        <v>0</v>
      </c>
      <c r="L225" s="320">
        <f>N(L224)+(N(I225)&gt;0)</f>
        <v>0</v>
      </c>
    </row>
    <row r="226">
      <c r="A226" s="321" t="inlineStr">
        <is>
          <t xml:space="preserve">Провода цвета</t>
        </is>
      </c>
      <c r="B226" s="314" t="str">
        <f>'Провода цвета'!A91&amp;""</f>
        <v>PM 2,0 (B) сер.</v>
      </c>
      <c r="C226" s="315" t="str">
        <f>'Провода цвета'!B91&amp;""</f>
        <v>100м, сечение 2,0мм², CCA; фиолетовый</v>
      </c>
      <c r="D226" s="316" t="str">
        <f>IF('Провода цвета'!H91="+","есть",IF('Провода цвета'!H91="-","нет",""))</f>
        <v>есть</v>
      </c>
      <c r="E226" s="317"/>
      <c r="F226" s="318">
        <f>IF(N('Провода цвета'!G91)&lt;=0,"по запросу",CHOOSE($K$3,IF(N('Провода цвета'!E91)&gt;0,N('Провода цвета'!E91),N('Провода цвета'!G91)),IF(N('Провода цвета'!F91)&gt;0,N('Провода цвета'!F91),N('Провода цвета'!G91)),N('Провода цвета'!G91)))</f>
        <v>3890.2</v>
      </c>
      <c r="G226" s="319" t="str">
        <f>IF(I226&lt;=0,"",IF(ISNUMBER(F226),I226*F226,"по запросу"))</f>
        <v/>
      </c>
      <c r="H226" s="320">
        <f>N('Провода цвета'!I91)</f>
        <v>0</v>
      </c>
      <c r="I226" s="320">
        <f>IF(N(E226)&gt;0,N(E226),H226)</f>
        <v>0</v>
      </c>
      <c r="J226" s="320">
        <f>I226*IF(N('Провода цвета'!E91)&gt;0,N('Провода цвета'!E91),N('Провода цвета'!G91))</f>
        <v>0</v>
      </c>
      <c r="K226" s="320">
        <f>I226*IF(N('Провода цвета'!F91)&gt;0,N('Провода цвета'!F91),N('Провода цвета'!G91))</f>
        <v>0</v>
      </c>
      <c r="L226" s="320">
        <f>N(L225)+(N(I226)&gt;0)</f>
        <v>0</v>
      </c>
    </row>
    <row r="227">
      <c r="A227" s="321" t="inlineStr">
        <is>
          <t xml:space="preserve">Провода цвета</t>
        </is>
      </c>
      <c r="B227" s="314" t="str">
        <f>'Провода цвета'!A92&amp;""</f>
        <v>PM 2,0 (B) черн.</v>
      </c>
      <c r="C227" s="315" t="str">
        <f>'Провода цвета'!B92&amp;""</f>
        <v>100м, сечение 2,0мм², CCA; черный</v>
      </c>
      <c r="D227" s="316" t="str">
        <f>IF('Провода цвета'!H92="+","есть",IF('Провода цвета'!H92="-","нет",""))</f>
        <v>нет</v>
      </c>
      <c r="E227" s="317"/>
      <c r="F227" s="318">
        <f>IF(N('Провода цвета'!G92)&lt;=0,"по запросу",CHOOSE($K$3,IF(N('Провода цвета'!E92)&gt;0,N('Провода цвета'!E92),N('Провода цвета'!G92)),IF(N('Провода цвета'!F92)&gt;0,N('Провода цвета'!F92),N('Провода цвета'!G92)),N('Провода цвета'!G92)))</f>
        <v>3890.2</v>
      </c>
      <c r="G227" s="319" t="str">
        <f>IF(I227&lt;=0,"",IF(ISNUMBER(F227),I227*F227,"по запросу"))</f>
        <v/>
      </c>
      <c r="H227" s="320">
        <f>N('Провода цвета'!I92)</f>
        <v>0</v>
      </c>
      <c r="I227" s="320">
        <f>IF(N(E227)&gt;0,N(E227),H227)</f>
        <v>0</v>
      </c>
      <c r="J227" s="320">
        <f>I227*IF(N('Провода цвета'!E92)&gt;0,N('Провода цвета'!E92),N('Провода цвета'!G92))</f>
        <v>0</v>
      </c>
      <c r="K227" s="320">
        <f>I227*IF(N('Провода цвета'!F92)&gt;0,N('Провода цвета'!F92),N('Провода цвета'!G92))</f>
        <v>0</v>
      </c>
      <c r="L227" s="320">
        <f>N(L226)+(N(I227)&gt;0)</f>
        <v>0</v>
      </c>
    </row>
    <row r="228">
      <c r="A228" s="321" t="inlineStr">
        <is>
          <t xml:space="preserve">Провода цвета</t>
        </is>
      </c>
      <c r="B228" s="314" t="str">
        <f>'Провода цвета'!A93&amp;""</f>
        <v>PM 2,5 (B) красн.</v>
      </c>
      <c r="C228" s="315" t="str">
        <f>'Провода цвета'!B93&amp;""</f>
        <v>100м, сечение 2,5мм², CCA; красный</v>
      </c>
      <c r="D228" s="316" t="str">
        <f>IF('Провода цвета'!H93="+","есть",IF('Провода цвета'!H93="-","нет",""))</f>
        <v>есть</v>
      </c>
      <c r="E228" s="317"/>
      <c r="F228" s="318">
        <f>IF(N('Провода цвета'!G93)&lt;=0,"по запросу",CHOOSE($K$3,IF(N('Провода цвета'!E93)&gt;0,N('Провода цвета'!E93),N('Провода цвета'!G93)),IF(N('Провода цвета'!F93)&gt;0,N('Провода цвета'!F93),N('Провода цвета'!G93)),N('Провода цвета'!G93)))</f>
        <v>3922.7</v>
      </c>
      <c r="G228" s="319" t="str">
        <f>IF(I228&lt;=0,"",IF(ISNUMBER(F228),I228*F228,"по запросу"))</f>
        <v/>
      </c>
      <c r="H228" s="320">
        <f>N('Провода цвета'!I93)</f>
        <v>0</v>
      </c>
      <c r="I228" s="320">
        <f>IF(N(E228)&gt;0,N(E228),H228)</f>
        <v>0</v>
      </c>
      <c r="J228" s="320">
        <f>I228*IF(N('Провода цвета'!E93)&gt;0,N('Провода цвета'!E93),N('Провода цвета'!G93))</f>
        <v>0</v>
      </c>
      <c r="K228" s="320">
        <f>I228*IF(N('Провода цвета'!F93)&gt;0,N('Провода цвета'!F93),N('Провода цвета'!G93))</f>
        <v>0</v>
      </c>
      <c r="L228" s="320">
        <f>N(L227)+(N(I228)&gt;0)</f>
        <v>0</v>
      </c>
    </row>
    <row r="229">
      <c r="A229" s="321" t="inlineStr">
        <is>
          <t xml:space="preserve">Провода цвета</t>
        </is>
      </c>
      <c r="B229" s="314" t="str">
        <f>'Провода цвета'!A94&amp;""</f>
        <v>PM 2,5 (B) черн.</v>
      </c>
      <c r="C229" s="315" t="str">
        <f>'Провода цвета'!B94&amp;""</f>
        <v>100м, сечение 2,5мм², CCA; черный</v>
      </c>
      <c r="D229" s="316" t="str">
        <f>IF('Провода цвета'!H94="+","есть",IF('Провода цвета'!H94="-","нет",""))</f>
        <v>есть</v>
      </c>
      <c r="E229" s="317"/>
      <c r="F229" s="318">
        <f>IF(N('Провода цвета'!G94)&lt;=0,"по запросу",CHOOSE($K$3,IF(N('Провода цвета'!E94)&gt;0,N('Провода цвета'!E94),N('Провода цвета'!G94)),IF(N('Провода цвета'!F94)&gt;0,N('Провода цвета'!F94),N('Провода цвета'!G94)),N('Провода цвета'!G94)))</f>
        <v>3922.7</v>
      </c>
      <c r="G229" s="319" t="str">
        <f>IF(I229&lt;=0,"",IF(ISNUMBER(F229),I229*F229,"по запросу"))</f>
        <v/>
      </c>
      <c r="H229" s="320">
        <f>N('Провода цвета'!I94)</f>
        <v>0</v>
      </c>
      <c r="I229" s="320">
        <f>IF(N(E229)&gt;0,N(E229),H229)</f>
        <v>0</v>
      </c>
      <c r="J229" s="320">
        <f>I229*IF(N('Провода цвета'!E94)&gt;0,N('Провода цвета'!E94),N('Провода цвета'!G94))</f>
        <v>0</v>
      </c>
      <c r="K229" s="320">
        <f>I229*IF(N('Провода цвета'!F94)&gt;0,N('Провода цвета'!F94),N('Провода цвета'!G94))</f>
        <v>0</v>
      </c>
      <c r="L229" s="320">
        <f>N(L228)+(N(I229)&gt;0)</f>
        <v>0</v>
      </c>
    </row>
    <row r="230" ht="28" customHeight="1">
      <c r="A230" s="310" t="inlineStr">
        <is>
          <t xml:space="preserve">Реле</t>
        </is>
      </c>
      <c r="B230" s="310"/>
      <c r="C230" s="310"/>
      <c r="D230" s="310"/>
      <c r="E230" s="310"/>
      <c r="F230" s="310"/>
      <c r="G230" s="310"/>
      <c r="L230" s="320">
        <f>N(L229)+(N(I230)&gt;0)</f>
        <v>0</v>
      </c>
    </row>
    <row r="231" ht="24" customHeight="1">
      <c r="A231" s="321" t="inlineStr">
        <is>
          <t xml:space="preserve">Реле</t>
        </is>
      </c>
      <c r="B231" s="311" t="inlineStr">
        <is>
          <t xml:space="preserve">РЕЛЕ БЛОКИРОВКИ И КОЛОДКИ К НИМ</t>
        </is>
      </c>
      <c r="L231" s="320">
        <f>N(L230)+(N(I231)&gt;0)</f>
        <v>0</v>
      </c>
    </row>
    <row r="232" ht="20" customHeight="1">
      <c r="A232" s="321" t="inlineStr">
        <is>
          <t xml:space="preserve">Реле</t>
        </is>
      </c>
      <c r="B232" s="312" t="inlineStr">
        <is>
          <t xml:space="preserve">Реле блокировки без резистора</t>
        </is>
      </c>
      <c r="L232" s="320">
        <f>N(L231)+(N(I232)&gt;0)</f>
        <v>0</v>
      </c>
    </row>
    <row r="233">
      <c r="A233" s="321" t="inlineStr">
        <is>
          <t xml:space="preserve">Реле</t>
        </is>
      </c>
      <c r="B233" s="314" t="str">
        <f>'Реле'!A9&amp;""</f>
        <v>AQR 12/10 MINI</v>
      </c>
      <c r="C233" s="315" t="str">
        <f>'Реле'!B9&amp;""</f>
        <v>5 контактов, MINI, без Разъема, 10А, 12В, в упаковке 100 шт, цена за штуку</v>
      </c>
      <c r="D233" s="316" t="str">
        <f>IF('Реле'!H9="+","есть",IF('Реле'!H9="-","нет",""))</f>
        <v>есть</v>
      </c>
      <c r="E233" s="317"/>
      <c r="F233" s="318">
        <f>IF(N('Реле'!G9)&lt;=0,"по запросу",CHOOSE($K$3,IF(N('Реле'!E9)&gt;0,N('Реле'!E9),N('Реле'!G9)),IF(N('Реле'!F9)&gt;0,N('Реле'!F9),N('Реле'!G9)),N('Реле'!G9)))</f>
        <v>59.6</v>
      </c>
      <c r="G233" s="319" t="str">
        <f>IF(I233&lt;=0,"",IF(ISNUMBER(F233),I233*F233,"по запросу"))</f>
        <v/>
      </c>
      <c r="H233" s="320">
        <f>N('Реле'!I9)</f>
        <v>0</v>
      </c>
      <c r="I233" s="320">
        <f>IF(N(E233)&gt;0,N(E233),H233)</f>
        <v>0</v>
      </c>
      <c r="J233" s="320">
        <f>I233*IF(N('Реле'!E9)&gt;0,N('Реле'!E9),N('Реле'!G9))</f>
        <v>0</v>
      </c>
      <c r="K233" s="320">
        <f>I233*IF(N('Реле'!F9)&gt;0,N('Реле'!F9),N('Реле'!G9))</f>
        <v>0</v>
      </c>
      <c r="L233" s="320">
        <f>N(L232)+(N(I233)&gt;0)</f>
        <v>0</v>
      </c>
    </row>
    <row r="234">
      <c r="A234" s="321" t="inlineStr">
        <is>
          <t xml:space="preserve">Реле</t>
        </is>
      </c>
      <c r="B234" s="314" t="str">
        <f>'Реле'!A10&amp;""</f>
        <v>AQR 12/15 MINI</v>
      </c>
      <c r="C234" s="315" t="str">
        <f>'Реле'!B10&amp;""</f>
        <v>5 контактов, MINI, без Разъема, 15А, 12В, в упаковке 100 шт, цена за штуку</v>
      </c>
      <c r="D234" s="316" t="str">
        <f>IF('Реле'!H10="+","есть",IF('Реле'!H10="-","нет",""))</f>
        <v>есть</v>
      </c>
      <c r="E234" s="317"/>
      <c r="F234" s="318">
        <f>IF(N('Реле'!G10)&lt;=0,"по запросу",CHOOSE($K$3,IF(N('Реле'!E10)&gt;0,N('Реле'!E10),N('Реле'!G10)),IF(N('Реле'!F10)&gt;0,N('Реле'!F10),N('Реле'!G10)),N('Реле'!G10)))</f>
        <v>59.6</v>
      </c>
      <c r="G234" s="319" t="str">
        <f>IF(I234&lt;=0,"",IF(ISNUMBER(F234),I234*F234,"по запросу"))</f>
        <v/>
      </c>
      <c r="H234" s="320">
        <f>N('Реле'!I10)</f>
        <v>0</v>
      </c>
      <c r="I234" s="320">
        <f>IF(N(E234)&gt;0,N(E234),H234)</f>
        <v>0</v>
      </c>
      <c r="J234" s="320">
        <f>I234*IF(N('Реле'!E10)&gt;0,N('Реле'!E10),N('Реле'!G10))</f>
        <v>0</v>
      </c>
      <c r="K234" s="320">
        <f>I234*IF(N('Реле'!F10)&gt;0,N('Реле'!F10),N('Реле'!G10))</f>
        <v>0</v>
      </c>
      <c r="L234" s="320">
        <f>N(L233)+(N(I234)&gt;0)</f>
        <v>0</v>
      </c>
    </row>
    <row r="235">
      <c r="A235" s="321" t="inlineStr">
        <is>
          <t xml:space="preserve">Реле</t>
        </is>
      </c>
      <c r="B235" s="314" t="str">
        <f>'Реле'!A11&amp;""</f>
        <v>AQR 12/20 MINI</v>
      </c>
      <c r="C235" s="315" t="str">
        <f>'Реле'!B11&amp;""</f>
        <v>5 контактов, MINI, без Разъема, 20А, 12В, в упаковке 25 шт, цена за штуку</v>
      </c>
      <c r="D235" s="316" t="str">
        <f>IF('Реле'!H11="+","есть",IF('Реле'!H11="-","нет",""))</f>
        <v>есть</v>
      </c>
      <c r="E235" s="317"/>
      <c r="F235" s="318">
        <f>IF(N('Реле'!G11)&lt;=0,"по запросу",CHOOSE($K$3,IF(N('Реле'!E11)&gt;0,N('Реле'!E11),N('Реле'!G11)),IF(N('Реле'!F11)&gt;0,N('Реле'!F11),N('Реле'!G11)),N('Реле'!G11)))</f>
        <v>65.1</v>
      </c>
      <c r="G235" s="319" t="str">
        <f>IF(I235&lt;=0,"",IF(ISNUMBER(F235),I235*F235,"по запросу"))</f>
        <v/>
      </c>
      <c r="H235" s="320">
        <f>N('Реле'!I11)</f>
        <v>0</v>
      </c>
      <c r="I235" s="320">
        <f>IF(N(E235)&gt;0,N(E235),H235)</f>
        <v>0</v>
      </c>
      <c r="J235" s="320">
        <f>I235*IF(N('Реле'!E11)&gt;0,N('Реле'!E11),N('Реле'!G11))</f>
        <v>0</v>
      </c>
      <c r="K235" s="320">
        <f>I235*IF(N('Реле'!F11)&gt;0,N('Реле'!F11),N('Реле'!G11))</f>
        <v>0</v>
      </c>
      <c r="L235" s="320">
        <f>N(L234)+(N(I235)&gt;0)</f>
        <v>0</v>
      </c>
    </row>
    <row r="236">
      <c r="A236" s="321" t="inlineStr">
        <is>
          <t xml:space="preserve">Реле</t>
        </is>
      </c>
      <c r="B236" s="314" t="str">
        <f>'Реле'!A12&amp;""</f>
        <v>AQR 12/40SF-4</v>
      </c>
      <c r="C236" s="315" t="str">
        <f>'Реле'!B12&amp;""</f>
        <v>4 контакта, без Разъема, 40А, 12В, флюсостойкий пылезащ. корпус 27x28x25, пластик.брекет</v>
      </c>
      <c r="D236" s="316" t="str">
        <f>IF('Реле'!H12="+","есть",IF('Реле'!H12="-","нет",""))</f>
        <v>нет</v>
      </c>
      <c r="E236" s="317"/>
      <c r="F236" s="318" t="str">
        <f>IF(N('Реле'!G12)&lt;=0,"по запросу",CHOOSE($K$3,IF(N('Реле'!E12)&gt;0,N('Реле'!E12),N('Реле'!G12)),IF(N('Реле'!F12)&gt;0,N('Реле'!F12),N('Реле'!G12)),N('Реле'!G12)))</f>
        <v>по запросу</v>
      </c>
      <c r="G236" s="319" t="str">
        <f>IF(I236&lt;=0,"",IF(ISNUMBER(F236),I236*F236,"по запросу"))</f>
        <v/>
      </c>
      <c r="H236" s="320">
        <f>N('Реле'!I12)</f>
        <v>0</v>
      </c>
      <c r="I236" s="320">
        <f>IF(N(E236)&gt;0,N(E236),H236)</f>
        <v>0</v>
      </c>
      <c r="J236" s="320">
        <f>I236*IF(N('Реле'!E12)&gt;0,N('Реле'!E12),N('Реле'!G12))</f>
        <v>0</v>
      </c>
      <c r="K236" s="320">
        <f>I236*IF(N('Реле'!F12)&gt;0,N('Реле'!F12),N('Реле'!G12))</f>
        <v>0</v>
      </c>
      <c r="L236" s="320">
        <f>N(L235)+(N(I236)&gt;0)</f>
        <v>0</v>
      </c>
    </row>
    <row r="237">
      <c r="A237" s="321" t="inlineStr">
        <is>
          <t xml:space="preserve">Реле</t>
        </is>
      </c>
      <c r="B237" s="314" t="str">
        <f>'Реле'!A13&amp;""</f>
        <v>AQR 12/40SF-5</v>
      </c>
      <c r="C237" s="315" t="str">
        <f>'Реле'!B13&amp;""</f>
        <v>5 контактов, без Разъема, 40А, 12В, флюсостойкий пылезащ. корпус 27x28x25, пластик.брекет</v>
      </c>
      <c r="D237" s="316" t="str">
        <f>IF('Реле'!H13="+","есть",IF('Реле'!H13="-","нет",""))</f>
        <v>есть</v>
      </c>
      <c r="E237" s="317"/>
      <c r="F237" s="318">
        <f>IF(N('Реле'!G13)&lt;=0,"по запросу",CHOOSE($K$3,IF(N('Реле'!E13)&gt;0,N('Реле'!E13),N('Реле'!G13)),IF(N('Реле'!F13)&gt;0,N('Реле'!F13),N('Реле'!G13)),N('Реле'!G13)))</f>
        <v>170.6</v>
      </c>
      <c r="G237" s="319" t="str">
        <f>IF(I237&lt;=0,"",IF(ISNUMBER(F237),I237*F237,"по запросу"))</f>
        <v/>
      </c>
      <c r="H237" s="320">
        <f>N('Реле'!I13)</f>
        <v>0</v>
      </c>
      <c r="I237" s="320">
        <f>IF(N(E237)&gt;0,N(E237),H237)</f>
        <v>0</v>
      </c>
      <c r="J237" s="320">
        <f>I237*IF(N('Реле'!E13)&gt;0,N('Реле'!E13),N('Реле'!G13))</f>
        <v>0</v>
      </c>
      <c r="K237" s="320">
        <f>I237*IF(N('Реле'!F13)&gt;0,N('Реле'!F13),N('Реле'!G13))</f>
        <v>0</v>
      </c>
      <c r="L237" s="320">
        <f>N(L236)+(N(I237)&gt;0)</f>
        <v>0</v>
      </c>
    </row>
    <row r="238">
      <c r="A238" s="321" t="inlineStr">
        <is>
          <t xml:space="preserve">Реле</t>
        </is>
      </c>
      <c r="B238" s="314" t="str">
        <f>'Реле'!A14&amp;""</f>
        <v>AQR 24/40SF-5</v>
      </c>
      <c r="C238" s="315" t="str">
        <f>'Реле'!B14&amp;""</f>
        <v>5 контактов, без Разъема, 40А, 24В,  флюсостойкий пылезащ. корпус 27x28x25, пластик.брекет</v>
      </c>
      <c r="D238" s="316" t="str">
        <f>IF('Реле'!H14="+","есть",IF('Реле'!H14="-","нет",""))</f>
        <v>есть</v>
      </c>
      <c r="E238" s="317"/>
      <c r="F238" s="318">
        <f>IF(N('Реле'!G14)&lt;=0,"по запросу",CHOOSE($K$3,IF(N('Реле'!E14)&gt;0,N('Реле'!E14),N('Реле'!G14)),IF(N('Реле'!F14)&gt;0,N('Реле'!F14),N('Реле'!G14)),N('Реле'!G14)))</f>
        <v>173</v>
      </c>
      <c r="G238" s="319" t="str">
        <f>IF(I238&lt;=0,"",IF(ISNUMBER(F238),I238*F238,"по запросу"))</f>
        <v/>
      </c>
      <c r="H238" s="320">
        <f>N('Реле'!I14)</f>
        <v>0</v>
      </c>
      <c r="I238" s="320">
        <f>IF(N(E238)&gt;0,N(E238),H238)</f>
        <v>0</v>
      </c>
      <c r="J238" s="320">
        <f>I238*IF(N('Реле'!E14)&gt;0,N('Реле'!E14),N('Реле'!G14))</f>
        <v>0</v>
      </c>
      <c r="K238" s="320">
        <f>I238*IF(N('Реле'!F14)&gt;0,N('Реле'!F14),N('Реле'!G14))</f>
        <v>0</v>
      </c>
      <c r="L238" s="320">
        <f>N(L237)+(N(I238)&gt;0)</f>
        <v>0</v>
      </c>
    </row>
    <row r="239">
      <c r="A239" s="321" t="inlineStr">
        <is>
          <t xml:space="preserve">Реле</t>
        </is>
      </c>
      <c r="B239" s="314" t="str">
        <f>'Реле'!A15&amp;""</f>
        <v>AQR 12/40SW-5</v>
      </c>
      <c r="C239" s="315" t="str">
        <f>'Реле'!B15&amp;""</f>
        <v>5 контактов, без Разъема, 40А, 12В,  герметичный корпус 27x28x25, металлический брекет</v>
      </c>
      <c r="D239" s="316" t="str">
        <f>IF('Реле'!H15="+","есть",IF('Реле'!H15="-","нет",""))</f>
        <v>есть</v>
      </c>
      <c r="E239" s="317"/>
      <c r="F239" s="318">
        <f>IF(N('Реле'!G15)&lt;=0,"по запросу",CHOOSE($K$3,IF(N('Реле'!E15)&gt;0,N('Реле'!E15),N('Реле'!G15)),IF(N('Реле'!F15)&gt;0,N('Реле'!F15),N('Реле'!G15)),N('Реле'!G15)))</f>
        <v>192.3</v>
      </c>
      <c r="G239" s="319" t="str">
        <f>IF(I239&lt;=0,"",IF(ISNUMBER(F239),I239*F239,"по запросу"))</f>
        <v/>
      </c>
      <c r="H239" s="320">
        <f>N('Реле'!I15)</f>
        <v>0</v>
      </c>
      <c r="I239" s="320">
        <f>IF(N(E239)&gt;0,N(E239),H239)</f>
        <v>0</v>
      </c>
      <c r="J239" s="320">
        <f>I239*IF(N('Реле'!E15)&gt;0,N('Реле'!E15),N('Реле'!G15))</f>
        <v>0</v>
      </c>
      <c r="K239" s="320">
        <f>I239*IF(N('Реле'!F15)&gt;0,N('Реле'!F15),N('Реле'!G15))</f>
        <v>0</v>
      </c>
      <c r="L239" s="320">
        <f>N(L238)+(N(I239)&gt;0)</f>
        <v>0</v>
      </c>
    </row>
    <row r="240">
      <c r="A240" s="321" t="inlineStr">
        <is>
          <t xml:space="preserve">Реле</t>
        </is>
      </c>
      <c r="B240" s="314" t="str">
        <f>'Реле'!A16&amp;""</f>
        <v>AQR 12/40SW-5 (F)</v>
      </c>
      <c r="C240" s="315" t="str">
        <f>'Реле'!B16&amp;""</f>
        <v>5 контактов, без Разъема, 40А, 12В, герметичный корпус 27x28x25, пластик.брекет</v>
      </c>
      <c r="D240" s="316" t="str">
        <f>IF('Реле'!H16="+","есть",IF('Реле'!H16="-","нет",""))</f>
        <v>есть</v>
      </c>
      <c r="E240" s="317"/>
      <c r="F240" s="318">
        <f>IF(N('Реле'!G16)&lt;=0,"по запросу",CHOOSE($K$3,IF(N('Реле'!E16)&gt;0,N('Реле'!E16),N('Реле'!G16)),IF(N('Реле'!F16)&gt;0,N('Реле'!F16),N('Реле'!G16)),N('Реле'!G16)))</f>
        <v>140.7</v>
      </c>
      <c r="G240" s="319" t="str">
        <f>IF(I240&lt;=0,"",IF(ISNUMBER(F240),I240*F240,"по запросу"))</f>
        <v/>
      </c>
      <c r="H240" s="320">
        <f>N('Реле'!I16)</f>
        <v>0</v>
      </c>
      <c r="I240" s="320">
        <f>IF(N(E240)&gt;0,N(E240),H240)</f>
        <v>0</v>
      </c>
      <c r="J240" s="320">
        <f>I240*IF(N('Реле'!E16)&gt;0,N('Реле'!E16),N('Реле'!G16))</f>
        <v>0</v>
      </c>
      <c r="K240" s="320">
        <f>I240*IF(N('Реле'!F16)&gt;0,N('Реле'!F16),N('Реле'!G16))</f>
        <v>0</v>
      </c>
      <c r="L240" s="320">
        <f>N(L239)+(N(I240)&gt;0)</f>
        <v>0</v>
      </c>
    </row>
    <row r="241">
      <c r="A241" s="321" t="inlineStr">
        <is>
          <t xml:space="preserve">Реле</t>
        </is>
      </c>
      <c r="B241" s="314" t="str">
        <f>'Реле'!A17&amp;""</f>
        <v>AQR 12/40SW-5 (М)</v>
      </c>
      <c r="C241" s="315" t="str">
        <f>'Реле'!B17&amp;""</f>
        <v>5 контактов: 2 конт. 6,3мм, 3конт.4,8мм, без Разъема, 40А, 12В, герметичный корпус 20,5x15x22, без брекета</v>
      </c>
      <c r="D241" s="316" t="str">
        <f>IF('Реле'!H17="+","есть",IF('Реле'!H17="-","нет",""))</f>
        <v>есть</v>
      </c>
      <c r="E241" s="317"/>
      <c r="F241" s="318">
        <f>IF(N('Реле'!G17)&lt;=0,"по запросу",CHOOSE($K$3,IF(N('Реле'!E17)&gt;0,N('Реле'!E17),N('Реле'!G17)),IF(N('Реле'!F17)&gt;0,N('Реле'!F17),N('Реле'!G17)),N('Реле'!G17)))</f>
        <v>121.5</v>
      </c>
      <c r="G241" s="319" t="str">
        <f>IF(I241&lt;=0,"",IF(ISNUMBER(F241),I241*F241,"по запросу"))</f>
        <v/>
      </c>
      <c r="H241" s="320">
        <f>N('Реле'!I17)</f>
        <v>0</v>
      </c>
      <c r="I241" s="320">
        <f>IF(N(E241)&gt;0,N(E241),H241)</f>
        <v>0</v>
      </c>
      <c r="J241" s="320">
        <f>I241*IF(N('Реле'!E17)&gt;0,N('Реле'!E17),N('Реле'!G17))</f>
        <v>0</v>
      </c>
      <c r="K241" s="320">
        <f>I241*IF(N('Реле'!F17)&gt;0,N('Реле'!F17),N('Реле'!G17))</f>
        <v>0</v>
      </c>
      <c r="L241" s="320">
        <f>N(L240)+(N(I241)&gt;0)</f>
        <v>0</v>
      </c>
    </row>
    <row r="242" ht="20" customHeight="1">
      <c r="A242" s="321" t="inlineStr">
        <is>
          <t xml:space="preserve">Реле</t>
        </is>
      </c>
      <c r="B242" s="312" t="inlineStr">
        <is>
          <t xml:space="preserve">Колодки к реле</t>
        </is>
      </c>
      <c r="L242" s="320">
        <f>N(L241)+(N(I242)&gt;0)</f>
        <v>0</v>
      </c>
    </row>
    <row r="243">
      <c r="A243" s="321" t="inlineStr">
        <is>
          <t xml:space="preserve">Реле</t>
        </is>
      </c>
      <c r="B243" s="314" t="str">
        <f>'Реле'!A19&amp;""</f>
        <v>AQR 16-15 MINI</v>
      </c>
      <c r="C243" s="315" t="str">
        <f>'Реле'!B19&amp;""</f>
        <v>колодка к мини реле AQR 12/15 MINI и AQR 12/10 MINI, пятипроводная</v>
      </c>
      <c r="D243" s="316" t="str">
        <f>IF('Реле'!H19="+","есть",IF('Реле'!H19="-","нет",""))</f>
        <v>есть</v>
      </c>
      <c r="E243" s="317"/>
      <c r="F243" s="318">
        <f>IF(N('Реле'!G19)&lt;=0,"по запросу",CHOOSE($K$3,IF(N('Реле'!E19)&gt;0,N('Реле'!E19),N('Реле'!G19)),IF(N('Реле'!F19)&gt;0,N('Реле'!F19),N('Реле'!G19)),N('Реле'!G19)))</f>
        <v>88.5</v>
      </c>
      <c r="G243" s="319" t="str">
        <f>IF(I243&lt;=0,"",IF(ISNUMBER(F243),I243*F243,"по запросу"))</f>
        <v/>
      </c>
      <c r="H243" s="320">
        <f>N('Реле'!I19)</f>
        <v>0</v>
      </c>
      <c r="I243" s="320">
        <f>IF(N(E243)&gt;0,N(E243),H243)</f>
        <v>0</v>
      </c>
      <c r="J243" s="320">
        <f>I243*IF(N('Реле'!E19)&gt;0,N('Реле'!E19),N('Реле'!G19))</f>
        <v>0</v>
      </c>
      <c r="K243" s="320">
        <f>I243*IF(N('Реле'!F19)&gt;0,N('Реле'!F19),N('Реле'!G19))</f>
        <v>0</v>
      </c>
      <c r="L243" s="320">
        <f>N(L242)+(N(I243)&gt;0)</f>
        <v>0</v>
      </c>
    </row>
    <row r="244">
      <c r="A244" s="321" t="inlineStr">
        <is>
          <t xml:space="preserve">Реле</t>
        </is>
      </c>
      <c r="B244" s="314" t="str">
        <f>'Реле'!A20&amp;""</f>
        <v>AQR 16-20 MINI</v>
      </c>
      <c r="C244" s="315" t="str">
        <f>'Реле'!B20&amp;""</f>
        <v>колодка к мини реле AQR 12/20 MINI, пятипроводная</v>
      </c>
      <c r="D244" s="316" t="str">
        <f>IF('Реле'!H20="+","есть",IF('Реле'!H20="-","нет",""))</f>
        <v>есть</v>
      </c>
      <c r="E244" s="317"/>
      <c r="F244" s="318">
        <f>IF(N('Реле'!G20)&lt;=0,"по запросу",CHOOSE($K$3,IF(N('Реле'!E20)&gt;0,N('Реле'!E20),N('Реле'!G20)),IF(N('Реле'!F20)&gt;0,N('Реле'!F20),N('Реле'!G20)),N('Реле'!G20)))</f>
        <v>88.5</v>
      </c>
      <c r="G244" s="319" t="str">
        <f>IF(I244&lt;=0,"",IF(ISNUMBER(F244),I244*F244,"по запросу"))</f>
        <v/>
      </c>
      <c r="H244" s="320">
        <f>N('Реле'!I20)</f>
        <v>0</v>
      </c>
      <c r="I244" s="320">
        <f>IF(N(E244)&gt;0,N(E244),H244)</f>
        <v>0</v>
      </c>
      <c r="J244" s="320">
        <f>I244*IF(N('Реле'!E20)&gt;0,N('Реле'!E20),N('Реле'!G20))</f>
        <v>0</v>
      </c>
      <c r="K244" s="320">
        <f>I244*IF(N('Реле'!F20)&gt;0,N('Реле'!F20),N('Реле'!G20))</f>
        <v>0</v>
      </c>
      <c r="L244" s="320">
        <f>N(L243)+(N(I244)&gt;0)</f>
        <v>0</v>
      </c>
    </row>
    <row r="245">
      <c r="A245" s="321" t="inlineStr">
        <is>
          <t xml:space="preserve">Реле</t>
        </is>
      </c>
      <c r="B245" s="314" t="str">
        <f>'Реле'!A21&amp;""</f>
        <v>AQR 16-5</v>
      </c>
      <c r="C245" s="315" t="str">
        <f>'Реле'!B21&amp;""</f>
        <v>колодка к реле AQR 12/40SW-5 (М), пятипроводная, с брекетом, наборная в линейку</v>
      </c>
      <c r="D245" s="316" t="str">
        <f>IF('Реле'!H21="+","есть",IF('Реле'!H21="-","нет",""))</f>
        <v>есть</v>
      </c>
      <c r="E245" s="317"/>
      <c r="F245" s="318">
        <f>IF(N('Реле'!G21)&lt;=0,"по запросу",CHOOSE($K$3,IF(N('Реле'!E21)&gt;0,N('Реле'!E21),N('Реле'!G21)),IF(N('Реле'!F21)&gt;0,N('Реле'!F21),N('Реле'!G21)),N('Реле'!G21)))</f>
        <v>128.5</v>
      </c>
      <c r="G245" s="319" t="str">
        <f>IF(I245&lt;=0,"",IF(ISNUMBER(F245),I245*F245,"по запросу"))</f>
        <v/>
      </c>
      <c r="H245" s="320">
        <f>N('Реле'!I21)</f>
        <v>0</v>
      </c>
      <c r="I245" s="320">
        <f>IF(N(E245)&gt;0,N(E245),H245)</f>
        <v>0</v>
      </c>
      <c r="J245" s="320">
        <f>I245*IF(N('Реле'!E21)&gt;0,N('Реле'!E21),N('Реле'!G21))</f>
        <v>0</v>
      </c>
      <c r="K245" s="320">
        <f>I245*IF(N('Реле'!F21)&gt;0,N('Реле'!F21),N('Реле'!G21))</f>
        <v>0</v>
      </c>
      <c r="L245" s="320">
        <f>N(L244)+(N(I245)&gt;0)</f>
        <v>0</v>
      </c>
    </row>
    <row r="246">
      <c r="A246" s="321" t="inlineStr">
        <is>
          <t xml:space="preserve">Реле</t>
        </is>
      </c>
      <c r="B246" s="314" t="str">
        <f>'Реле'!A22&amp;""</f>
        <v>AQR 16-5D</v>
      </c>
      <c r="C246" s="315" t="str">
        <f>'Реле'!B22&amp;""</f>
        <v>колодка к реле, пятипроводная с диодом, "квадрат", провода: L=19см; сечение 2*0,75мм² и 3*2,0мм²</v>
      </c>
      <c r="D246" s="316" t="str">
        <f>IF('Реле'!H22="+","есть",IF('Реле'!H22="-","нет",""))</f>
        <v>есть</v>
      </c>
      <c r="E246" s="317"/>
      <c r="F246" s="318">
        <f>IF(N('Реле'!G22)&lt;=0,"по запросу",CHOOSE($K$3,IF(N('Реле'!E22)&gt;0,N('Реле'!E22),N('Реле'!G22)),IF(N('Реле'!F22)&gt;0,N('Реле'!F22),N('Реле'!G22)),N('Реле'!G22)))</f>
        <v>128.5</v>
      </c>
      <c r="G246" s="319" t="str">
        <f>IF(I246&lt;=0,"",IF(ISNUMBER(F246),I246*F246,"по запросу"))</f>
        <v/>
      </c>
      <c r="H246" s="320">
        <f>N('Реле'!I22)</f>
        <v>0</v>
      </c>
      <c r="I246" s="320">
        <f>IF(N(E246)&gt;0,N(E246),H246)</f>
        <v>0</v>
      </c>
      <c r="J246" s="320">
        <f>I246*IF(N('Реле'!E22)&gt;0,N('Реле'!E22),N('Реле'!G22))</f>
        <v>0</v>
      </c>
      <c r="K246" s="320">
        <f>I246*IF(N('Реле'!F22)&gt;0,N('Реле'!F22),N('Реле'!G22))</f>
        <v>0</v>
      </c>
      <c r="L246" s="320">
        <f>N(L245)+(N(I246)&gt;0)</f>
        <v>0</v>
      </c>
    </row>
    <row r="247">
      <c r="A247" s="321" t="inlineStr">
        <is>
          <t xml:space="preserve">Реле</t>
        </is>
      </c>
      <c r="B247" s="314" t="str">
        <f>'Реле'!A23&amp;""</f>
        <v>AQR 16-5DK</v>
      </c>
      <c r="C247" s="315" t="str">
        <f>'Реле'!B23&amp;""</f>
        <v>колодка к реле, пятипроводная с диодом, "крест", провода: L=19см; сечение 2*0,75мм² и 3*2,0мм²</v>
      </c>
      <c r="D247" s="316" t="str">
        <f>IF('Реле'!H23="+","есть",IF('Реле'!H23="-","нет",""))</f>
        <v>есть</v>
      </c>
      <c r="E247" s="317"/>
      <c r="F247" s="318">
        <f>IF(N('Реле'!G23)&lt;=0,"по запросу",CHOOSE($K$3,IF(N('Реле'!E23)&gt;0,N('Реле'!E23),N('Реле'!G23)),IF(N('Реле'!F23)&gt;0,N('Реле'!F23),N('Реле'!G23)),N('Реле'!G23)))</f>
        <v>128.5</v>
      </c>
      <c r="G247" s="319" t="str">
        <f>IF(I247&lt;=0,"",IF(ISNUMBER(F247),I247*F247,"по запросу"))</f>
        <v/>
      </c>
      <c r="H247" s="320">
        <f>N('Реле'!I23)</f>
        <v>0</v>
      </c>
      <c r="I247" s="320">
        <f>IF(N(E247)&gt;0,N(E247),H247)</f>
        <v>0</v>
      </c>
      <c r="J247" s="320">
        <f>I247*IF(N('Реле'!E23)&gt;0,N('Реле'!E23),N('Реле'!G23))</f>
        <v>0</v>
      </c>
      <c r="K247" s="320">
        <f>I247*IF(N('Реле'!F23)&gt;0,N('Реле'!F23),N('Реле'!G23))</f>
        <v>0</v>
      </c>
      <c r="L247" s="320">
        <f>N(L246)+(N(I247)&gt;0)</f>
        <v>0</v>
      </c>
    </row>
    <row r="248">
      <c r="A248" s="321" t="inlineStr">
        <is>
          <t xml:space="preserve">Реле</t>
        </is>
      </c>
      <c r="B248" s="314" t="str">
        <f>'Реле'!A24&amp;""</f>
        <v>AQR 16-4/4,8</v>
      </c>
      <c r="C248" s="315" t="str">
        <f>'Реле'!B24&amp;""</f>
        <v>колодка к реле AQR 12/40SP-4, четырехпроводная , провода L=16см</v>
      </c>
      <c r="D248" s="316" t="str">
        <f>IF('Реле'!H24="+","есть",IF('Реле'!H24="-","нет",""))</f>
        <v>есть</v>
      </c>
      <c r="E248" s="317"/>
      <c r="F248" s="318">
        <f>IF(N('Реле'!G24)&lt;=0,"по запросу",CHOOSE($K$3,IF(N('Реле'!E24)&gt;0,N('Реле'!E24),N('Реле'!G24)),IF(N('Реле'!F24)&gt;0,N('Реле'!F24),N('Реле'!G24)),N('Реле'!G24)))</f>
        <v>63.8</v>
      </c>
      <c r="G248" s="319" t="str">
        <f>IF(I248&lt;=0,"",IF(ISNUMBER(F248),I248*F248,"по запросу"))</f>
        <v/>
      </c>
      <c r="H248" s="320">
        <f>N('Реле'!I24)</f>
        <v>0</v>
      </c>
      <c r="I248" s="320">
        <f>IF(N(E248)&gt;0,N(E248),H248)</f>
        <v>0</v>
      </c>
      <c r="J248" s="320">
        <f>I248*IF(N('Реле'!E24)&gt;0,N('Реле'!E24),N('Реле'!G24))</f>
        <v>0</v>
      </c>
      <c r="K248" s="320">
        <f>I248*IF(N('Реле'!F24)&gt;0,N('Реле'!F24),N('Реле'!G24))</f>
        <v>0</v>
      </c>
      <c r="L248" s="320">
        <f>N(L247)+(N(I248)&gt;0)</f>
        <v>0</v>
      </c>
    </row>
    <row r="249">
      <c r="A249" s="321" t="inlineStr">
        <is>
          <t xml:space="preserve">Реле</t>
        </is>
      </c>
      <c r="B249" s="314" t="str">
        <f>'Реле'!A25&amp;""</f>
        <v>AQA 5 (100шт)</v>
      </c>
      <c r="C249" s="315" t="str">
        <f>'Реле'!B25&amp;""</f>
        <v>корпус колодки "квадрат" для 5-ти контактного реле без проводов и клемм (100шт)</v>
      </c>
      <c r="D249" s="316" t="str">
        <f>IF('Реле'!H25="+","есть",IF('Реле'!H25="-","нет",""))</f>
        <v>есть</v>
      </c>
      <c r="E249" s="317"/>
      <c r="F249" s="318">
        <f>IF(N('Реле'!G25)&lt;=0,"по запросу",CHOOSE($K$3,IF(N('Реле'!E25)&gt;0,N('Реле'!E25),N('Реле'!G25)),IF(N('Реле'!F25)&gt;0,N('Реле'!F25),N('Реле'!G25)),N('Реле'!G25)))</f>
        <v>3420.5</v>
      </c>
      <c r="G249" s="319" t="str">
        <f>IF(I249&lt;=0,"",IF(ISNUMBER(F249),I249*F249,"по запросу"))</f>
        <v/>
      </c>
      <c r="H249" s="320">
        <f>N('Реле'!I25)</f>
        <v>0</v>
      </c>
      <c r="I249" s="320">
        <f>IF(N(E249)&gt;0,N(E249),H249)</f>
        <v>0</v>
      </c>
      <c r="J249" s="320">
        <f>I249*IF(N('Реле'!E25)&gt;0,N('Реле'!E25),N('Реле'!G25))</f>
        <v>0</v>
      </c>
      <c r="K249" s="320">
        <f>I249*IF(N('Реле'!F25)&gt;0,N('Реле'!F25),N('Реле'!G25))</f>
        <v>0</v>
      </c>
      <c r="L249" s="320">
        <f>N(L248)+(N(I249)&gt;0)</f>
        <v>0</v>
      </c>
    </row>
    <row r="250">
      <c r="A250" s="321" t="inlineStr">
        <is>
          <t xml:space="preserve">Реле</t>
        </is>
      </c>
      <c r="B250" s="314" t="str">
        <f>'Реле'!A26&amp;""</f>
        <v>AQA 6 (100шт)</v>
      </c>
      <c r="C250" s="315" t="str">
        <f>'Реле'!B26&amp;""</f>
        <v>корпус колодки "крест" для 5-ти контактного реле без проводов и клемм, наборный в линейку(100шт), черный</v>
      </c>
      <c r="D250" s="316" t="str">
        <f>IF('Реле'!H26="+","есть",IF('Реле'!H26="-","нет",""))</f>
        <v>есть</v>
      </c>
      <c r="E250" s="317"/>
      <c r="F250" s="318">
        <f>IF(N('Реле'!G26)&lt;=0,"по запросу",CHOOSE($K$3,IF(N('Реле'!E26)&gt;0,N('Реле'!E26),N('Реле'!G26)),IF(N('Реле'!F26)&gt;0,N('Реле'!F26),N('Реле'!G26)),N('Реле'!G26)))</f>
        <v>2854.5</v>
      </c>
      <c r="G250" s="319" t="str">
        <f>IF(I250&lt;=0,"",IF(ISNUMBER(F250),I250*F250,"по запросу"))</f>
        <v/>
      </c>
      <c r="H250" s="320">
        <f>N('Реле'!I26)</f>
        <v>0</v>
      </c>
      <c r="I250" s="320">
        <f>IF(N(E250)&gt;0,N(E250),H250)</f>
        <v>0</v>
      </c>
      <c r="J250" s="320">
        <f>I250*IF(N('Реле'!E26)&gt;0,N('Реле'!E26),N('Реле'!G26))</f>
        <v>0</v>
      </c>
      <c r="K250" s="320">
        <f>I250*IF(N('Реле'!F26)&gt;0,N('Реле'!F26),N('Реле'!G26))</f>
        <v>0</v>
      </c>
      <c r="L250" s="320">
        <f>N(L249)+(N(I250)&gt;0)</f>
        <v>0</v>
      </c>
    </row>
    <row r="251" ht="28" customHeight="1">
      <c r="A251" s="310" t="inlineStr">
        <is>
          <t xml:space="preserve">Концевики</t>
        </is>
      </c>
      <c r="B251" s="310"/>
      <c r="C251" s="310"/>
      <c r="D251" s="310"/>
      <c r="E251" s="310"/>
      <c r="F251" s="310"/>
      <c r="G251" s="310"/>
      <c r="L251" s="320">
        <f>N(L250)+(N(I251)&gt;0)</f>
        <v>0</v>
      </c>
    </row>
    <row r="252" ht="24" customHeight="1">
      <c r="A252" s="321" t="inlineStr">
        <is>
          <t xml:space="preserve">Концевики</t>
        </is>
      </c>
      <c r="B252" s="311" t="inlineStr">
        <is>
          <t xml:space="preserve">КОНЦЕВЫЕ КОНТАКТЫ</t>
        </is>
      </c>
      <c r="L252" s="320">
        <f>N(L251)+(N(I252)&gt;0)</f>
        <v>0</v>
      </c>
    </row>
    <row r="253">
      <c r="A253" s="321" t="inlineStr">
        <is>
          <t xml:space="preserve">Концевики</t>
        </is>
      </c>
      <c r="B253" s="314" t="str">
        <f>'Концевики'!A8&amp;""</f>
        <v>AQM 21</v>
      </c>
      <c r="C253" s="315" t="str">
        <f>'Концевики'!C8&amp;""</f>
        <v>Металлический шток. Мin высота выступающей части. Цилиндрический контакт и резьба.</v>
      </c>
      <c r="D253" s="316" t="str">
        <f>IF('Концевики'!H8="+","есть",IF('Концевики'!H8="-","нет",""))</f>
        <v>есть</v>
      </c>
      <c r="E253" s="317"/>
      <c r="F253" s="318">
        <f>IF(N('Концевики'!G8)&lt;=0,"по запросу",CHOOSE($K$3,IF(N('Концевики'!E8)&gt;0,N('Концевики'!E8),N('Концевики'!G8)),IF(N('Концевики'!F8)&gt;0,N('Концевики'!F8),N('Концевики'!G8)),N('Концевики'!G8)))</f>
        <v>17.5</v>
      </c>
      <c r="G253" s="319" t="str">
        <f>IF(I253&lt;=0,"",IF(ISNUMBER(F253),I253*F253,"по запросу"))</f>
        <v/>
      </c>
      <c r="H253" s="320">
        <f>N('Концевики'!I8)</f>
        <v>0</v>
      </c>
      <c r="I253" s="320">
        <f>IF(N(E253)&gt;0,N(E253),H253)</f>
        <v>0</v>
      </c>
      <c r="J253" s="320">
        <f>I253*IF(N('Концевики'!E8)&gt;0,N('Концевики'!E8),N('Концевики'!G8))</f>
        <v>0</v>
      </c>
      <c r="K253" s="320">
        <f>I253*IF(N('Концевики'!F8)&gt;0,N('Концевики'!F8),N('Концевики'!G8))</f>
        <v>0</v>
      </c>
      <c r="L253" s="320">
        <f>N(L252)+(N(I253)&gt;0)</f>
        <v>0</v>
      </c>
    </row>
    <row r="254">
      <c r="A254" s="321" t="inlineStr">
        <is>
          <t xml:space="preserve">Концевики</t>
        </is>
      </c>
      <c r="B254" s="314" t="str">
        <f>'Концевики'!A9&amp;""</f>
        <v>AQM 22</v>
      </c>
      <c r="C254" s="315" t="str">
        <f>'Концевики'!C9&amp;""</f>
        <v>Концевой контакт общего назначения. Пластмассовый шток. Две контргайки. Ножевой контакт и резьба. Регулировка по высоте.</v>
      </c>
      <c r="D254" s="316" t="str">
        <f>IF('Концевики'!H9="+","есть",IF('Концевики'!H9="-","нет",""))</f>
        <v>есть</v>
      </c>
      <c r="E254" s="317"/>
      <c r="F254" s="318">
        <f>IF(N('Концевики'!G9)&lt;=0,"по запросу",CHOOSE($K$3,IF(N('Концевики'!E9)&gt;0,N('Концевики'!E9),N('Концевики'!G9)),IF(N('Концевики'!F9)&gt;0,N('Концевики'!F9),N('Концевики'!G9)),N('Концевики'!G9)))</f>
        <v>46.9</v>
      </c>
      <c r="G254" s="319" t="str">
        <f>IF(I254&lt;=0,"",IF(ISNUMBER(F254),I254*F254,"по запросу"))</f>
        <v/>
      </c>
      <c r="H254" s="320">
        <f>N('Концевики'!I9)</f>
        <v>0</v>
      </c>
      <c r="I254" s="320">
        <f>IF(N(E254)&gt;0,N(E254),H254)</f>
        <v>0</v>
      </c>
      <c r="J254" s="320">
        <f>I254*IF(N('Концевики'!E9)&gt;0,N('Концевики'!E9),N('Концевики'!G9))</f>
        <v>0</v>
      </c>
      <c r="K254" s="320">
        <f>I254*IF(N('Концевики'!F9)&gt;0,N('Концевики'!F9),N('Концевики'!G9))</f>
        <v>0</v>
      </c>
      <c r="L254" s="320">
        <f>N(L253)+(N(I254)&gt;0)</f>
        <v>0</v>
      </c>
    </row>
    <row r="255">
      <c r="A255" s="321" t="inlineStr">
        <is>
          <t xml:space="preserve">Концевики</t>
        </is>
      </c>
      <c r="B255" s="314" t="str">
        <f>'Концевики'!A10&amp;""</f>
        <v>AQM 25В</v>
      </c>
      <c r="C255" s="315" t="str">
        <f>'Концевики'!C10&amp;""</f>
        <v>На сдвижную дверь для кузовов фургонного типа.</v>
      </c>
      <c r="D255" s="316" t="str">
        <f>IF('Концевики'!H10="+","есть",IF('Концевики'!H10="-","нет",""))</f>
        <v>есть</v>
      </c>
      <c r="E255" s="317"/>
      <c r="F255" s="318">
        <f>IF(N('Концевики'!G10)&lt;=0,"по запросу",CHOOSE($K$3,IF(N('Концевики'!E10)&gt;0,N('Концевики'!E10),N('Концевики'!G10)),IF(N('Концевики'!F10)&gt;0,N('Концевики'!F10),N('Концевики'!G10)),N('Концевики'!G10)))</f>
        <v>234.6</v>
      </c>
      <c r="G255" s="319" t="str">
        <f>IF(I255&lt;=0,"",IF(ISNUMBER(F255),I255*F255,"по запросу"))</f>
        <v/>
      </c>
      <c r="H255" s="320">
        <f>N('Концевики'!I10)</f>
        <v>0</v>
      </c>
      <c r="I255" s="320">
        <f>IF(N(E255)&gt;0,N(E255),H255)</f>
        <v>0</v>
      </c>
      <c r="J255" s="320">
        <f>I255*IF(N('Концевики'!E10)&gt;0,N('Концевики'!E10),N('Концевики'!G10))</f>
        <v>0</v>
      </c>
      <c r="K255" s="320">
        <f>I255*IF(N('Концевики'!F10)&gt;0,N('Концевики'!F10),N('Концевики'!G10))</f>
        <v>0</v>
      </c>
      <c r="L255" s="320">
        <f>N(L254)+(N(I255)&gt;0)</f>
        <v>0</v>
      </c>
    </row>
    <row r="256">
      <c r="A256" s="321" t="inlineStr">
        <is>
          <t xml:space="preserve">Концевики</t>
        </is>
      </c>
      <c r="B256" s="314" t="str">
        <f>'Концевики'!A11&amp;""</f>
        <v>AQM 30A с пыльником</v>
      </c>
      <c r="C256" s="315" t="str">
        <f>'Концевики'!C11&amp;""</f>
        <v>для ВАЗ 2114-15, 1119, "Шевроле-Нива", "Приора", "Лада-Гранта" с пыльником</v>
      </c>
      <c r="D256" s="316" t="str">
        <f>IF('Концевики'!H11="+","есть",IF('Концевики'!H11="-","нет",""))</f>
        <v>есть</v>
      </c>
      <c r="E256" s="317"/>
      <c r="F256" s="318">
        <f>IF(N('Концевики'!G11)&lt;=0,"по запросу",CHOOSE($K$3,IF(N('Концевики'!E11)&gt;0,N('Концевики'!E11),N('Концевики'!G11)),IF(N('Концевики'!F11)&gt;0,N('Концевики'!F11),N('Концевики'!G11)),N('Концевики'!G11)))</f>
        <v>144.4</v>
      </c>
      <c r="G256" s="319" t="str">
        <f>IF(I256&lt;=0,"",IF(ISNUMBER(F256),I256*F256,"по запросу"))</f>
        <v/>
      </c>
      <c r="H256" s="320">
        <f>N('Концевики'!I11)</f>
        <v>0</v>
      </c>
      <c r="I256" s="320">
        <f>IF(N(E256)&gt;0,N(E256),H256)</f>
        <v>0</v>
      </c>
      <c r="J256" s="320">
        <f>I256*IF(N('Концевики'!E11)&gt;0,N('Концевики'!E11),N('Концевики'!G11))</f>
        <v>0</v>
      </c>
      <c r="K256" s="320">
        <f>I256*IF(N('Концевики'!F11)&gt;0,N('Концевики'!F11),N('Концевики'!G11))</f>
        <v>0</v>
      </c>
      <c r="L256" s="320">
        <f>N(L255)+(N(I256)&gt;0)</f>
        <v>0</v>
      </c>
    </row>
    <row r="257">
      <c r="A257" s="321" t="inlineStr">
        <is>
          <t xml:space="preserve">Концевики</t>
        </is>
      </c>
      <c r="B257" s="314" t="str">
        <f>'Концевики'!A12&amp;""</f>
        <v>WH-3P-F (мама)</v>
      </c>
      <c r="C257" s="315" t="str">
        <f>'Концевики'!C12&amp;""</f>
        <v>Герметичный Разъем для концевика AQM 30A, произв. Россия</v>
      </c>
      <c r="D257" s="316" t="str">
        <f>IF('Концевики'!H12="+","есть",IF('Концевики'!H12="-","нет",""))</f>
        <v>есть</v>
      </c>
      <c r="E257" s="317"/>
      <c r="F257" s="318">
        <f>IF(N('Концевики'!G12)&lt;=0,"по запросу",CHOOSE($K$3,IF(N('Концевики'!E12)&gt;0,N('Концевики'!E12),N('Концевики'!G12)),IF(N('Концевики'!F12)&gt;0,N('Концевики'!F12),N('Концевики'!G12)),N('Концевики'!G12)))</f>
        <v>96.9</v>
      </c>
      <c r="G257" s="319" t="str">
        <f>IF(I257&lt;=0,"",IF(ISNUMBER(F257),I257*F257,"по запросу"))</f>
        <v/>
      </c>
      <c r="H257" s="320">
        <f>N('Концевики'!I12)</f>
        <v>0</v>
      </c>
      <c r="I257" s="320">
        <f>IF(N(E257)&gt;0,N(E257),H257)</f>
        <v>0</v>
      </c>
      <c r="J257" s="320">
        <f>I257*IF(N('Концевики'!E12)&gt;0,N('Концевики'!E12),N('Концевики'!G12))</f>
        <v>0</v>
      </c>
      <c r="K257" s="320">
        <f>I257*IF(N('Концевики'!F12)&gt;0,N('Концевики'!F12),N('Концевики'!G12))</f>
        <v>0</v>
      </c>
      <c r="L257" s="320">
        <f>N(L256)+(N(I257)&gt;0)</f>
        <v>0</v>
      </c>
    </row>
    <row r="258">
      <c r="A258" s="321" t="inlineStr">
        <is>
          <t xml:space="preserve">Концевики</t>
        </is>
      </c>
      <c r="B258" s="314" t="str">
        <f>'Концевики'!A13&amp;""</f>
        <v>WH-3P-F мама, Тайвань</v>
      </c>
      <c r="C258" s="315" t="str">
        <f>'Концевики'!C13&amp;""</f>
        <v>Герметичный Разъем для концевика AQM 30A, произв. Тайвань</v>
      </c>
      <c r="D258" s="316" t="str">
        <f>IF('Концевики'!H13="+","есть",IF('Концевики'!H13="-","нет",""))</f>
        <v>есть</v>
      </c>
      <c r="E258" s="317"/>
      <c r="F258" s="318">
        <f>IF(N('Концевики'!G13)&lt;=0,"по запросу",CHOOSE($K$3,IF(N('Концевики'!E13)&gt;0,N('Концевики'!E13),N('Концевики'!G13)),IF(N('Концевики'!F13)&gt;0,N('Концевики'!F13),N('Концевики'!G13)),N('Концевики'!G13)))</f>
        <v>248.4</v>
      </c>
      <c r="G258" s="319" t="str">
        <f>IF(I258&lt;=0,"",IF(ISNUMBER(F258),I258*F258,"по запросу"))</f>
        <v/>
      </c>
      <c r="H258" s="320">
        <f>N('Концевики'!I13)</f>
        <v>0</v>
      </c>
      <c r="I258" s="320">
        <f>IF(N(E258)&gt;0,N(E258),H258)</f>
        <v>0</v>
      </c>
      <c r="J258" s="320">
        <f>I258*IF(N('Концевики'!E13)&gt;0,N('Концевики'!E13),N('Концевики'!G13))</f>
        <v>0</v>
      </c>
      <c r="K258" s="320">
        <f>I258*IF(N('Концевики'!F13)&gt;0,N('Концевики'!F13),N('Концевики'!G13))</f>
        <v>0</v>
      </c>
      <c r="L258" s="320">
        <f>N(L257)+(N(I258)&gt;0)</f>
        <v>0</v>
      </c>
    </row>
    <row r="259">
      <c r="A259" s="321" t="inlineStr">
        <is>
          <t xml:space="preserve">Концевики</t>
        </is>
      </c>
      <c r="B259" s="314" t="str">
        <f>'Концевики'!A14&amp;""</f>
        <v>AQM 30B</v>
      </c>
      <c r="C259" s="315" t="str">
        <f>'Концевики'!C14&amp;""</f>
        <v>Корпус с неподвижным фланцем. Пластмассовый шток, регулируемый по высоте. Ножевой контакт. Герметичный резиновый протектор.</v>
      </c>
      <c r="D259" s="316" t="str">
        <f>IF('Концевики'!H14="+","есть",IF('Концевики'!H14="-","нет",""))</f>
        <v>есть</v>
      </c>
      <c r="E259" s="317"/>
      <c r="F259" s="318">
        <f>IF(N('Концевики'!G14)&lt;=0,"по запросу",CHOOSE($K$3,IF(N('Концевики'!E14)&gt;0,N('Концевики'!E14),N('Концевики'!G14)),IF(N('Концевики'!F14)&gt;0,N('Концевики'!F14),N('Концевики'!G14)),N('Концевики'!G14)))</f>
        <v>40.8</v>
      </c>
      <c r="G259" s="319" t="str">
        <f>IF(I259&lt;=0,"",IF(ISNUMBER(F259),I259*F259,"по запросу"))</f>
        <v/>
      </c>
      <c r="H259" s="320">
        <f>N('Концевики'!I14)</f>
        <v>0</v>
      </c>
      <c r="I259" s="320">
        <f>IF(N(E259)&gt;0,N(E259),H259)</f>
        <v>0</v>
      </c>
      <c r="J259" s="320">
        <f>I259*IF(N('Концевики'!E14)&gt;0,N('Концевики'!E14),N('Концевики'!G14))</f>
        <v>0</v>
      </c>
      <c r="K259" s="320">
        <f>I259*IF(N('Концевики'!F14)&gt;0,N('Концевики'!F14),N('Концевики'!G14))</f>
        <v>0</v>
      </c>
      <c r="L259" s="320">
        <f>N(L258)+(N(I259)&gt;0)</f>
        <v>0</v>
      </c>
    </row>
    <row r="260">
      <c r="A260" s="321" t="inlineStr">
        <is>
          <t xml:space="preserve">Концевики</t>
        </is>
      </c>
      <c r="B260" s="314" t="str">
        <f>'Концевики'!A15&amp;""</f>
        <v>AQM 40A</v>
      </c>
      <c r="C260" s="315" t="str">
        <f>'Концевики'!C15&amp;""</f>
        <v>Металлические кронштейны для концевых выключателей. Отверстие с резьбой и регулировочные прорези. Пластина прямая. </v>
      </c>
      <c r="D260" s="316" t="str">
        <f>IF('Концевики'!H15="+","есть",IF('Концевики'!H15="-","нет",""))</f>
        <v>есть</v>
      </c>
      <c r="E260" s="317"/>
      <c r="F260" s="318">
        <f>IF(N('Концевики'!G15)&lt;=0,"по запросу",CHOOSE($K$3,IF(N('Концевики'!E15)&gt;0,N('Концевики'!E15),N('Концевики'!G15)),IF(N('Концевики'!F15)&gt;0,N('Концевики'!F15),N('Концевики'!G15)),N('Концевики'!G15)))</f>
        <v>34.4</v>
      </c>
      <c r="G260" s="319" t="str">
        <f>IF(I260&lt;=0,"",IF(ISNUMBER(F260),I260*F260,"по запросу"))</f>
        <v/>
      </c>
      <c r="H260" s="320">
        <f>N('Концевики'!I15)</f>
        <v>0</v>
      </c>
      <c r="I260" s="320">
        <f>IF(N(E260)&gt;0,N(E260),H260)</f>
        <v>0</v>
      </c>
      <c r="J260" s="320">
        <f>I260*IF(N('Концевики'!E15)&gt;0,N('Концевики'!E15),N('Концевики'!G15))</f>
        <v>0</v>
      </c>
      <c r="K260" s="320">
        <f>I260*IF(N('Концевики'!F15)&gt;0,N('Концевики'!F15),N('Концевики'!G15))</f>
        <v>0</v>
      </c>
      <c r="L260" s="320">
        <f>N(L259)+(N(I260)&gt;0)</f>
        <v>0</v>
      </c>
    </row>
    <row r="261">
      <c r="A261" s="321" t="inlineStr">
        <is>
          <t xml:space="preserve">Концевики</t>
        </is>
      </c>
      <c r="B261" s="314" t="str">
        <f>'Концевики'!A16&amp;""</f>
        <v>AQM 40AL</v>
      </c>
      <c r="C261" s="315" t="str">
        <f>'Концевики'!C16&amp;""</f>
        <v>Металлические кронштейны для концевых выключателей. Отверстие с резьбой и регулировочные прорези. Пластина гнутая</v>
      </c>
      <c r="D261" s="316" t="str">
        <f>IF('Концевики'!H16="+","есть",IF('Концевики'!H16="-","нет",""))</f>
        <v>есть</v>
      </c>
      <c r="E261" s="317"/>
      <c r="F261" s="318">
        <f>IF(N('Концевики'!G16)&lt;=0,"по запросу",CHOOSE($K$3,IF(N('Концевики'!E16)&gt;0,N('Концевики'!E16),N('Концевики'!G16)),IF(N('Концевики'!F16)&gt;0,N('Концевики'!F16),N('Концевики'!G16)),N('Концевики'!G16)))</f>
        <v>34.4</v>
      </c>
      <c r="G261" s="319" t="str">
        <f>IF(I261&lt;=0,"",IF(ISNUMBER(F261),I261*F261,"по запросу"))</f>
        <v/>
      </c>
      <c r="H261" s="320">
        <f>N('Концевики'!I16)</f>
        <v>0</v>
      </c>
      <c r="I261" s="320">
        <f>IF(N(E261)&gt;0,N(E261),H261)</f>
        <v>0</v>
      </c>
      <c r="J261" s="320">
        <f>I261*IF(N('Концевики'!E16)&gt;0,N('Концевики'!E16),N('Концевики'!G16))</f>
        <v>0</v>
      </c>
      <c r="K261" s="320">
        <f>I261*IF(N('Концевики'!F16)&gt;0,N('Концевики'!F16),N('Концевики'!G16))</f>
        <v>0</v>
      </c>
      <c r="L261" s="320">
        <f>N(L260)+(N(I261)&gt;0)</f>
        <v>0</v>
      </c>
    </row>
    <row r="262">
      <c r="A262" s="321" t="inlineStr">
        <is>
          <t xml:space="preserve">Концевики</t>
        </is>
      </c>
      <c r="B262" s="314" t="str">
        <f>'Концевики'!A17&amp;""</f>
        <v>AQM 54 с пыльником</v>
      </c>
      <c r="C262" s="315" t="str">
        <f>'Концевики'!C17&amp;""</f>
        <v>на Lada Largus, Renault  Logan фаза 1, Logan фаза 2, Sandero, Sandero stepway, Duster</v>
      </c>
      <c r="D262" s="316" t="str">
        <f>IF('Концевики'!H17="+","есть",IF('Концевики'!H17="-","нет",""))</f>
        <v>есть</v>
      </c>
      <c r="E262" s="317"/>
      <c r="F262" s="318">
        <f>IF(N('Концевики'!G17)&lt;=0,"по запросу",CHOOSE($K$3,IF(N('Концевики'!E17)&gt;0,N('Концевики'!E17),N('Концевики'!G17)),IF(N('Концевики'!F17)&gt;0,N('Концевики'!F17),N('Концевики'!G17)),N('Концевики'!G17)))</f>
        <v>226.7</v>
      </c>
      <c r="G262" s="319" t="str">
        <f>IF(I262&lt;=0,"",IF(ISNUMBER(F262),I262*F262,"по запросу"))</f>
        <v/>
      </c>
      <c r="H262" s="320">
        <f>N('Концевики'!I17)</f>
        <v>0</v>
      </c>
      <c r="I262" s="320">
        <f>IF(N(E262)&gt;0,N(E262),H262)</f>
        <v>0</v>
      </c>
      <c r="J262" s="320">
        <f>I262*IF(N('Концевики'!E17)&gt;0,N('Концевики'!E17),N('Концевики'!G17))</f>
        <v>0</v>
      </c>
      <c r="K262" s="320">
        <f>I262*IF(N('Концевики'!F17)&gt;0,N('Концевики'!F17),N('Концевики'!G17))</f>
        <v>0</v>
      </c>
      <c r="L262" s="320">
        <f>N(L261)+(N(I262)&gt;0)</f>
        <v>0</v>
      </c>
    </row>
    <row r="263">
      <c r="A263" s="321" t="inlineStr">
        <is>
          <t xml:space="preserve">Концевики</t>
        </is>
      </c>
      <c r="B263" s="314" t="str">
        <f>'Концевики'!A18&amp;""</f>
        <v>WH-2P-F, мама, "Ларгус"        (Россия)</v>
      </c>
      <c r="C263" s="315" t="str">
        <f>'Концевики'!C18&amp;""</f>
        <v>Разъем для концевика AQM 54, произв. Россия</v>
      </c>
      <c r="D263" s="316" t="str">
        <f>IF('Концевики'!H18="+","есть",IF('Концевики'!H18="-","нет",""))</f>
        <v>есть</v>
      </c>
      <c r="E263" s="317"/>
      <c r="F263" s="318">
        <f>IF(N('Концевики'!G18)&lt;=0,"по запросу",CHOOSE($K$3,IF(N('Концевики'!E18)&gt;0,N('Концевики'!E18),N('Концевики'!G18)),IF(N('Концевики'!F18)&gt;0,N('Концевики'!F18),N('Концевики'!G18)),N('Концевики'!G18)))</f>
        <v>90.7</v>
      </c>
      <c r="G263" s="319" t="str">
        <f>IF(I263&lt;=0,"",IF(ISNUMBER(F263),I263*F263,"по запросу"))</f>
        <v/>
      </c>
      <c r="H263" s="320">
        <f>N('Концевики'!I18)</f>
        <v>0</v>
      </c>
      <c r="I263" s="320">
        <f>IF(N(E263)&gt;0,N(E263),H263)</f>
        <v>0</v>
      </c>
      <c r="J263" s="320">
        <f>I263*IF(N('Концевики'!E18)&gt;0,N('Концевики'!E18),N('Концевики'!G18))</f>
        <v>0</v>
      </c>
      <c r="K263" s="320">
        <f>I263*IF(N('Концевики'!F18)&gt;0,N('Концевики'!F18),N('Концевики'!G18))</f>
        <v>0</v>
      </c>
      <c r="L263" s="320">
        <f>N(L262)+(N(I263)&gt;0)</f>
        <v>0</v>
      </c>
    </row>
    <row r="264">
      <c r="A264" s="321" t="inlineStr">
        <is>
          <t xml:space="preserve">Концевики</t>
        </is>
      </c>
      <c r="B264" s="314" t="str">
        <f>'Концевики'!A19&amp;""</f>
        <v>WH-2P-F, мама, "Ларгус" Тайвань</v>
      </c>
      <c r="C264" s="315" t="str">
        <f>'Концевики'!C19&amp;""</f>
        <v>Разъем для концевика AQM 54, произв. Тайвань</v>
      </c>
      <c r="D264" s="316" t="str">
        <f>IF('Концевики'!H19="+","есть",IF('Концевики'!H19="-","нет",""))</f>
        <v>есть</v>
      </c>
      <c r="E264" s="317"/>
      <c r="F264" s="318">
        <f>IF(N('Концевики'!G19)&lt;=0,"по запросу",CHOOSE($K$3,IF(N('Концевики'!E19)&gt;0,N('Концевики'!E19),N('Концевики'!G19)),IF(N('Концевики'!F19)&gt;0,N('Концевики'!F19),N('Концевики'!G19)),N('Концевики'!G19)))</f>
        <v>200.5</v>
      </c>
      <c r="G264" s="319" t="str">
        <f>IF(I264&lt;=0,"",IF(ISNUMBER(F264),I264*F264,"по запросу"))</f>
        <v/>
      </c>
      <c r="H264" s="320">
        <f>N('Концевики'!I19)</f>
        <v>0</v>
      </c>
      <c r="I264" s="320">
        <f>IF(N(E264)&gt;0,N(E264),H264)</f>
        <v>0</v>
      </c>
      <c r="J264" s="320">
        <f>I264*IF(N('Концевики'!E19)&gt;0,N('Концевики'!E19),N('Концевики'!G19))</f>
        <v>0</v>
      </c>
      <c r="K264" s="320">
        <f>I264*IF(N('Концевики'!F19)&gt;0,N('Концевики'!F19),N('Концевики'!G19))</f>
        <v>0</v>
      </c>
      <c r="L264" s="320">
        <f>N(L263)+(N(I264)&gt;0)</f>
        <v>0</v>
      </c>
    </row>
    <row r="265" ht="28" customHeight="1">
      <c r="A265" s="310" t="inlineStr">
        <is>
          <t xml:space="preserve">Предохранители</t>
        </is>
      </c>
      <c r="B265" s="310"/>
      <c r="C265" s="310"/>
      <c r="D265" s="310"/>
      <c r="E265" s="310"/>
      <c r="F265" s="310"/>
      <c r="G265" s="310"/>
      <c r="L265" s="320">
        <f>N(L264)+(N(I265)&gt;0)</f>
        <v>0</v>
      </c>
    </row>
    <row r="266" ht="24" customHeight="1">
      <c r="A266" s="321" t="inlineStr">
        <is>
          <t xml:space="preserve">Предохранители</t>
        </is>
      </c>
      <c r="B266" s="311" t="inlineStr">
        <is>
          <t xml:space="preserve">ДЕРЖАТЕЛИ ПРЕДОХРАНИТЕЛЯ И ПРЕДОХРАНИТЕЛИ АВТОМОБИЛЬНЫЕ ПЛАВКИЕ, НОЖЕВОГО ТИПА</t>
        </is>
      </c>
      <c r="L266" s="320">
        <f>N(L265)+(N(I266)&gt;0)</f>
        <v>0</v>
      </c>
    </row>
    <row r="267" ht="20" customHeight="1">
      <c r="A267" s="321" t="inlineStr">
        <is>
          <t xml:space="preserve">Предохранители</t>
        </is>
      </c>
      <c r="B267" s="312" t="inlineStr">
        <is>
          <t xml:space="preserve">Предохранители, 50 шт:</t>
        </is>
      </c>
      <c r="L267" s="320">
        <f>N(L266)+(N(I267)&gt;0)</f>
        <v>0</v>
      </c>
    </row>
    <row r="268">
      <c r="A268" s="321" t="inlineStr">
        <is>
          <t xml:space="preserve">Предохранители</t>
        </is>
      </c>
      <c r="B268" s="314" t="str">
        <f>'Предохранители'!A9&amp;""</f>
        <v>PRMICRO 10</v>
      </c>
      <c r="C268" s="315" t="str">
        <f>'Предохранители'!B9&amp;""</f>
        <v>10А, размер-micro</v>
      </c>
      <c r="D268" s="316" t="str">
        <f>IF('Предохранители'!H9="+","есть",IF('Предохранители'!H9="-","нет",""))</f>
        <v>есть</v>
      </c>
      <c r="E268" s="317"/>
      <c r="F268" s="318">
        <f>IF(N('Предохранители'!G9)&lt;=0,"по запросу",CHOOSE($K$3,IF(N('Предохранители'!E9)&gt;0,N('Предохранители'!E9),N('Предохранители'!G9)),IF(N('Предохранители'!F9)&gt;0,N('Предохранители'!F9),N('Предохранители'!G9)),N('Предохранители'!G9)))</f>
        <v>699.6</v>
      </c>
      <c r="G268" s="319" t="str">
        <f>IF(I268&lt;=0,"",IF(ISNUMBER(F268),I268*F268,"по запросу"))</f>
        <v/>
      </c>
      <c r="H268" s="320">
        <f>N('Предохранители'!I9)</f>
        <v>0</v>
      </c>
      <c r="I268" s="320">
        <f>IF(N(E268)&gt;0,N(E268),H268)</f>
        <v>0</v>
      </c>
      <c r="J268" s="320">
        <f>I268*IF(N('Предохранители'!E9)&gt;0,N('Предохранители'!E9),N('Предохранители'!G9))</f>
        <v>0</v>
      </c>
      <c r="K268" s="320">
        <f>I268*IF(N('Предохранители'!F9)&gt;0,N('Предохранители'!F9),N('Предохранители'!G9))</f>
        <v>0</v>
      </c>
      <c r="L268" s="320">
        <f>N(L267)+(N(I268)&gt;0)</f>
        <v>0</v>
      </c>
    </row>
    <row r="269">
      <c r="A269" s="321" t="inlineStr">
        <is>
          <t xml:space="preserve">Предохранители</t>
        </is>
      </c>
      <c r="B269" s="314" t="str">
        <f>'Предохранители'!A10&amp;""</f>
        <v>PRMICRO 15</v>
      </c>
      <c r="C269" s="315" t="str">
        <f>'Предохранители'!B10&amp;""</f>
        <v>15А, размер-micro</v>
      </c>
      <c r="D269" s="316" t="str">
        <f>IF('Предохранители'!H10="+","есть",IF('Предохранители'!H10="-","нет",""))</f>
        <v>есть</v>
      </c>
      <c r="E269" s="317"/>
      <c r="F269" s="318">
        <f>IF(N('Предохранители'!G10)&lt;=0,"по запросу",CHOOSE($K$3,IF(N('Предохранители'!E10)&gt;0,N('Предохранители'!E10),N('Предохранители'!G10)),IF(N('Предохранители'!F10)&gt;0,N('Предохранители'!F10),N('Предохранители'!G10)),N('Предохранители'!G10)))</f>
        <v>699.6</v>
      </c>
      <c r="G269" s="319" t="str">
        <f>IF(I269&lt;=0,"",IF(ISNUMBER(F269),I269*F269,"по запросу"))</f>
        <v/>
      </c>
      <c r="H269" s="320">
        <f>N('Предохранители'!I10)</f>
        <v>0</v>
      </c>
      <c r="I269" s="320">
        <f>IF(N(E269)&gt;0,N(E269),H269)</f>
        <v>0</v>
      </c>
      <c r="J269" s="320">
        <f>I269*IF(N('Предохранители'!E10)&gt;0,N('Предохранители'!E10),N('Предохранители'!G10))</f>
        <v>0</v>
      </c>
      <c r="K269" s="320">
        <f>I269*IF(N('Предохранители'!F10)&gt;0,N('Предохранители'!F10),N('Предохранители'!G10))</f>
        <v>0</v>
      </c>
      <c r="L269" s="320">
        <f>N(L268)+(N(I269)&gt;0)</f>
        <v>0</v>
      </c>
    </row>
    <row r="270">
      <c r="A270" s="321" t="inlineStr">
        <is>
          <t xml:space="preserve">Предохранители</t>
        </is>
      </c>
      <c r="B270" s="314" t="str">
        <f>'Предохранители'!A11&amp;""</f>
        <v>PRMICRO 20</v>
      </c>
      <c r="C270" s="315" t="str">
        <f>'Предохранители'!B11&amp;""</f>
        <v>20А, размер-micro</v>
      </c>
      <c r="D270" s="316" t="str">
        <f>IF('Предохранители'!H11="+","есть",IF('Предохранители'!H11="-","нет",""))</f>
        <v>есть</v>
      </c>
      <c r="E270" s="317"/>
      <c r="F270" s="318">
        <f>IF(N('Предохранители'!G11)&lt;=0,"по запросу",CHOOSE($K$3,IF(N('Предохранители'!E11)&gt;0,N('Предохранители'!E11),N('Предохранители'!G11)),IF(N('Предохранители'!F11)&gt;0,N('Предохранители'!F11),N('Предохранители'!G11)),N('Предохранители'!G11)))</f>
        <v>699.6</v>
      </c>
      <c r="G270" s="319" t="str">
        <f>IF(I270&lt;=0,"",IF(ISNUMBER(F270),I270*F270,"по запросу"))</f>
        <v/>
      </c>
      <c r="H270" s="320">
        <f>N('Предохранители'!I11)</f>
        <v>0</v>
      </c>
      <c r="I270" s="320">
        <f>IF(N(E270)&gt;0,N(E270),H270)</f>
        <v>0</v>
      </c>
      <c r="J270" s="320">
        <f>I270*IF(N('Предохранители'!E11)&gt;0,N('Предохранители'!E11),N('Предохранители'!G11))</f>
        <v>0</v>
      </c>
      <c r="K270" s="320">
        <f>I270*IF(N('Предохранители'!F11)&gt;0,N('Предохранители'!F11),N('Предохранители'!G11))</f>
        <v>0</v>
      </c>
      <c r="L270" s="320">
        <f>N(L269)+(N(I270)&gt;0)</f>
        <v>0</v>
      </c>
    </row>
    <row r="271">
      <c r="A271" s="321" t="inlineStr">
        <is>
          <t xml:space="preserve">Предохранители</t>
        </is>
      </c>
      <c r="B271" s="314" t="str">
        <f>'Предохранители'!A12&amp;""</f>
        <v>PRMICRO 30</v>
      </c>
      <c r="C271" s="315" t="str">
        <f>'Предохранители'!B12&amp;""</f>
        <v>30А, размер-micro</v>
      </c>
      <c r="D271" s="316" t="str">
        <f>IF('Предохранители'!H12="+","есть",IF('Предохранители'!H12="-","нет",""))</f>
        <v>есть</v>
      </c>
      <c r="E271" s="317"/>
      <c r="F271" s="318">
        <f>IF(N('Предохранители'!G12)&lt;=0,"по запросу",CHOOSE($K$3,IF(N('Предохранители'!E12)&gt;0,N('Предохранители'!E12),N('Предохранители'!G12)),IF(N('Предохранители'!F12)&gt;0,N('Предохранители'!F12),N('Предохранители'!G12)),N('Предохранители'!G12)))</f>
        <v>699.6</v>
      </c>
      <c r="G271" s="319" t="str">
        <f>IF(I271&lt;=0,"",IF(ISNUMBER(F271),I271*F271,"по запросу"))</f>
        <v/>
      </c>
      <c r="H271" s="320">
        <f>N('Предохранители'!I12)</f>
        <v>0</v>
      </c>
      <c r="I271" s="320">
        <f>IF(N(E271)&gt;0,N(E271),H271)</f>
        <v>0</v>
      </c>
      <c r="J271" s="320">
        <f>I271*IF(N('Предохранители'!E12)&gt;0,N('Предохранители'!E12),N('Предохранители'!G12))</f>
        <v>0</v>
      </c>
      <c r="K271" s="320">
        <f>I271*IF(N('Предохранители'!F12)&gt;0,N('Предохранители'!F12),N('Предохранители'!G12))</f>
        <v>0</v>
      </c>
      <c r="L271" s="320">
        <f>N(L270)+(N(I271)&gt;0)</f>
        <v>0</v>
      </c>
    </row>
    <row r="272">
      <c r="A272" s="321" t="inlineStr">
        <is>
          <t xml:space="preserve">Предохранители</t>
        </is>
      </c>
      <c r="B272" s="314" t="str">
        <f>'Предохранители'!A13&amp;""</f>
        <v>PRM 3</v>
      </c>
      <c r="C272" s="315" t="str">
        <f>'Предохранители'!B13&amp;""</f>
        <v>3А, размер-mini </v>
      </c>
      <c r="D272" s="316" t="str">
        <f>IF('Предохранители'!H13="+","есть",IF('Предохранители'!H13="-","нет",""))</f>
        <v>есть</v>
      </c>
      <c r="E272" s="317"/>
      <c r="F272" s="318">
        <f>IF(N('Предохранители'!G13)&lt;=0,"по запросу",CHOOSE($K$3,IF(N('Предохранители'!E13)&gt;0,N('Предохранители'!E13),N('Предохранители'!G13)),IF(N('Предохранители'!F13)&gt;0,N('Предохранители'!F13),N('Предохранители'!G13)),N('Предохранители'!G13)))</f>
        <v>517.7</v>
      </c>
      <c r="G272" s="319" t="str">
        <f>IF(I272&lt;=0,"",IF(ISNUMBER(F272),I272*F272,"по запросу"))</f>
        <v/>
      </c>
      <c r="H272" s="320">
        <f>N('Предохранители'!I13)</f>
        <v>0</v>
      </c>
      <c r="I272" s="320">
        <f>IF(N(E272)&gt;0,N(E272),H272)</f>
        <v>0</v>
      </c>
      <c r="J272" s="320">
        <f>I272*IF(N('Предохранители'!E13)&gt;0,N('Предохранители'!E13),N('Предохранители'!G13))</f>
        <v>0</v>
      </c>
      <c r="K272" s="320">
        <f>I272*IF(N('Предохранители'!F13)&gt;0,N('Предохранители'!F13),N('Предохранители'!G13))</f>
        <v>0</v>
      </c>
      <c r="L272" s="320">
        <f>N(L271)+(N(I272)&gt;0)</f>
        <v>0</v>
      </c>
    </row>
    <row r="273">
      <c r="A273" s="321" t="inlineStr">
        <is>
          <t xml:space="preserve">Предохранители</t>
        </is>
      </c>
      <c r="B273" s="314" t="str">
        <f>'Предохранители'!A14&amp;""</f>
        <v>PRM 5</v>
      </c>
      <c r="C273" s="315" t="str">
        <f>'Предохранители'!B14&amp;""</f>
        <v>5А, размер-mini </v>
      </c>
      <c r="D273" s="316" t="str">
        <f>IF('Предохранители'!H14="+","есть",IF('Предохранители'!H14="-","нет",""))</f>
        <v>есть</v>
      </c>
      <c r="E273" s="317"/>
      <c r="F273" s="318">
        <f>IF(N('Предохранители'!G14)&lt;=0,"по запросу",CHOOSE($K$3,IF(N('Предохранители'!E14)&gt;0,N('Предохранители'!E14),N('Предохранители'!G14)),IF(N('Предохранители'!F14)&gt;0,N('Предохранители'!F14),N('Предохранители'!G14)),N('Предохранители'!G14)))</f>
        <v>517.7</v>
      </c>
      <c r="G273" s="319" t="str">
        <f>IF(I273&lt;=0,"",IF(ISNUMBER(F273),I273*F273,"по запросу"))</f>
        <v/>
      </c>
      <c r="H273" s="320">
        <f>N('Предохранители'!I14)</f>
        <v>0</v>
      </c>
      <c r="I273" s="320">
        <f>IF(N(E273)&gt;0,N(E273),H273)</f>
        <v>0</v>
      </c>
      <c r="J273" s="320">
        <f>I273*IF(N('Предохранители'!E14)&gt;0,N('Предохранители'!E14),N('Предохранители'!G14))</f>
        <v>0</v>
      </c>
      <c r="K273" s="320">
        <f>I273*IF(N('Предохранители'!F14)&gt;0,N('Предохранители'!F14),N('Предохранители'!G14))</f>
        <v>0</v>
      </c>
      <c r="L273" s="320">
        <f>N(L272)+(N(I273)&gt;0)</f>
        <v>0</v>
      </c>
    </row>
    <row r="274">
      <c r="A274" s="321" t="inlineStr">
        <is>
          <t xml:space="preserve">Предохранители</t>
        </is>
      </c>
      <c r="B274" s="314" t="str">
        <f>'Предохранители'!A15&amp;""</f>
        <v>PRM 7,5</v>
      </c>
      <c r="C274" s="315" t="str">
        <f>'Предохранители'!B15&amp;""</f>
        <v>7А, размер-mini </v>
      </c>
      <c r="D274" s="316" t="str">
        <f>IF('Предохранители'!H15="+","есть",IF('Предохранители'!H15="-","нет",""))</f>
        <v>есть</v>
      </c>
      <c r="E274" s="317"/>
      <c r="F274" s="318">
        <f>IF(N('Предохранители'!G15)&lt;=0,"по запросу",CHOOSE($K$3,IF(N('Предохранители'!E15)&gt;0,N('Предохранители'!E15),N('Предохранители'!G15)),IF(N('Предохранители'!F15)&gt;0,N('Предохранители'!F15),N('Предохранители'!G15)),N('Предохранители'!G15)))</f>
        <v>517.7</v>
      </c>
      <c r="G274" s="319" t="str">
        <f>IF(I274&lt;=0,"",IF(ISNUMBER(F274),I274*F274,"по запросу"))</f>
        <v/>
      </c>
      <c r="H274" s="320">
        <f>N('Предохранители'!I15)</f>
        <v>0</v>
      </c>
      <c r="I274" s="320">
        <f>IF(N(E274)&gt;0,N(E274),H274)</f>
        <v>0</v>
      </c>
      <c r="J274" s="320">
        <f>I274*IF(N('Предохранители'!E15)&gt;0,N('Предохранители'!E15),N('Предохранители'!G15))</f>
        <v>0</v>
      </c>
      <c r="K274" s="320">
        <f>I274*IF(N('Предохранители'!F15)&gt;0,N('Предохранители'!F15),N('Предохранители'!G15))</f>
        <v>0</v>
      </c>
      <c r="L274" s="320">
        <f>N(L273)+(N(I274)&gt;0)</f>
        <v>0</v>
      </c>
    </row>
    <row r="275">
      <c r="A275" s="321" t="inlineStr">
        <is>
          <t xml:space="preserve">Предохранители</t>
        </is>
      </c>
      <c r="B275" s="314" t="str">
        <f>'Предохранители'!A16&amp;""</f>
        <v>PRM 10</v>
      </c>
      <c r="C275" s="315" t="str">
        <f>'Предохранители'!B16&amp;""</f>
        <v>10А, размер-mini </v>
      </c>
      <c r="D275" s="316" t="str">
        <f>IF('Предохранители'!H16="+","есть",IF('Предохранители'!H16="-","нет",""))</f>
        <v>есть</v>
      </c>
      <c r="E275" s="317"/>
      <c r="F275" s="318">
        <f>IF(N('Предохранители'!G16)&lt;=0,"по запросу",CHOOSE($K$3,IF(N('Предохранители'!E16)&gt;0,N('Предохранители'!E16),N('Предохранители'!G16)),IF(N('Предохранители'!F16)&gt;0,N('Предохранители'!F16),N('Предохранители'!G16)),N('Предохранители'!G16)))</f>
        <v>517.7</v>
      </c>
      <c r="G275" s="319" t="str">
        <f>IF(I275&lt;=0,"",IF(ISNUMBER(F275),I275*F275,"по запросу"))</f>
        <v/>
      </c>
      <c r="H275" s="320">
        <f>N('Предохранители'!I16)</f>
        <v>0</v>
      </c>
      <c r="I275" s="320">
        <f>IF(N(E275)&gt;0,N(E275),H275)</f>
        <v>0</v>
      </c>
      <c r="J275" s="320">
        <f>I275*IF(N('Предохранители'!E16)&gt;0,N('Предохранители'!E16),N('Предохранители'!G16))</f>
        <v>0</v>
      </c>
      <c r="K275" s="320">
        <f>I275*IF(N('Предохранители'!F16)&gt;0,N('Предохранители'!F16),N('Предохранители'!G16))</f>
        <v>0</v>
      </c>
      <c r="L275" s="320">
        <f>N(L274)+(N(I275)&gt;0)</f>
        <v>0</v>
      </c>
    </row>
    <row r="276">
      <c r="A276" s="321" t="inlineStr">
        <is>
          <t xml:space="preserve">Предохранители</t>
        </is>
      </c>
      <c r="B276" s="314" t="str">
        <f>'Предохранители'!A17&amp;""</f>
        <v>PRM 15</v>
      </c>
      <c r="C276" s="315" t="str">
        <f>'Предохранители'!B17&amp;""</f>
        <v>15А, размер-mini </v>
      </c>
      <c r="D276" s="316" t="str">
        <f>IF('Предохранители'!H17="+","есть",IF('Предохранители'!H17="-","нет",""))</f>
        <v>есть</v>
      </c>
      <c r="E276" s="317"/>
      <c r="F276" s="318">
        <f>IF(N('Предохранители'!G17)&lt;=0,"по запросу",CHOOSE($K$3,IF(N('Предохранители'!E17)&gt;0,N('Предохранители'!E17),N('Предохранители'!G17)),IF(N('Предохранители'!F17)&gt;0,N('Предохранители'!F17),N('Предохранители'!G17)),N('Предохранители'!G17)))</f>
        <v>517.7</v>
      </c>
      <c r="G276" s="319" t="str">
        <f>IF(I276&lt;=0,"",IF(ISNUMBER(F276),I276*F276,"по запросу"))</f>
        <v/>
      </c>
      <c r="H276" s="320">
        <f>N('Предохранители'!I17)</f>
        <v>0</v>
      </c>
      <c r="I276" s="320">
        <f>IF(N(E276)&gt;0,N(E276),H276)</f>
        <v>0</v>
      </c>
      <c r="J276" s="320">
        <f>I276*IF(N('Предохранители'!E17)&gt;0,N('Предохранители'!E17),N('Предохранители'!G17))</f>
        <v>0</v>
      </c>
      <c r="K276" s="320">
        <f>I276*IF(N('Предохранители'!F17)&gt;0,N('Предохранители'!F17),N('Предохранители'!G17))</f>
        <v>0</v>
      </c>
      <c r="L276" s="320">
        <f>N(L275)+(N(I276)&gt;0)</f>
        <v>0</v>
      </c>
    </row>
    <row r="277">
      <c r="A277" s="321" t="inlineStr">
        <is>
          <t xml:space="preserve">Предохранители</t>
        </is>
      </c>
      <c r="B277" s="314" t="str">
        <f>'Предохранители'!A18&amp;""</f>
        <v>PRM 20</v>
      </c>
      <c r="C277" s="315" t="str">
        <f>'Предохранители'!B18&amp;""</f>
        <v>20А, размер-mini </v>
      </c>
      <c r="D277" s="316" t="str">
        <f>IF('Предохранители'!H18="+","есть",IF('Предохранители'!H18="-","нет",""))</f>
        <v>есть</v>
      </c>
      <c r="E277" s="317"/>
      <c r="F277" s="318">
        <f>IF(N('Предохранители'!G18)&lt;=0,"по запросу",CHOOSE($K$3,IF(N('Предохранители'!E18)&gt;0,N('Предохранители'!E18),N('Предохранители'!G18)),IF(N('Предохранители'!F18)&gt;0,N('Предохранители'!F18),N('Предохранители'!G18)),N('Предохранители'!G18)))</f>
        <v>517.7</v>
      </c>
      <c r="G277" s="319" t="str">
        <f>IF(I277&lt;=0,"",IF(ISNUMBER(F277),I277*F277,"по запросу"))</f>
        <v/>
      </c>
      <c r="H277" s="320">
        <f>N('Предохранители'!I18)</f>
        <v>0</v>
      </c>
      <c r="I277" s="320">
        <f>IF(N(E277)&gt;0,N(E277),H277)</f>
        <v>0</v>
      </c>
      <c r="J277" s="320">
        <f>I277*IF(N('Предохранители'!E18)&gt;0,N('Предохранители'!E18),N('Предохранители'!G18))</f>
        <v>0</v>
      </c>
      <c r="K277" s="320">
        <f>I277*IF(N('Предохранители'!F18)&gt;0,N('Предохранители'!F18),N('Предохранители'!G18))</f>
        <v>0</v>
      </c>
      <c r="L277" s="320">
        <f>N(L276)+(N(I277)&gt;0)</f>
        <v>0</v>
      </c>
    </row>
    <row r="278">
      <c r="A278" s="321" t="inlineStr">
        <is>
          <t xml:space="preserve">Предохранители</t>
        </is>
      </c>
      <c r="B278" s="314" t="str">
        <f>'Предохранители'!A19&amp;""</f>
        <v>PRM 25</v>
      </c>
      <c r="C278" s="315" t="str">
        <f>'Предохранители'!B19&amp;""</f>
        <v>25А, размер-mini</v>
      </c>
      <c r="D278" s="316" t="str">
        <f>IF('Предохранители'!H19="+","есть",IF('Предохранители'!H19="-","нет",""))</f>
        <v>есть</v>
      </c>
      <c r="E278" s="317"/>
      <c r="F278" s="318">
        <f>IF(N('Предохранители'!G19)&lt;=0,"по запросу",CHOOSE($K$3,IF(N('Предохранители'!E19)&gt;0,N('Предохранители'!E19),N('Предохранители'!G19)),IF(N('Предохранители'!F19)&gt;0,N('Предохранители'!F19),N('Предохранители'!G19)),N('Предохранители'!G19)))</f>
        <v>517.7</v>
      </c>
      <c r="G278" s="319" t="str">
        <f>IF(I278&lt;=0,"",IF(ISNUMBER(F278),I278*F278,"по запросу"))</f>
        <v/>
      </c>
      <c r="H278" s="320">
        <f>N('Предохранители'!I19)</f>
        <v>0</v>
      </c>
      <c r="I278" s="320">
        <f>IF(N(E278)&gt;0,N(E278),H278)</f>
        <v>0</v>
      </c>
      <c r="J278" s="320">
        <f>I278*IF(N('Предохранители'!E19)&gt;0,N('Предохранители'!E19),N('Предохранители'!G19))</f>
        <v>0</v>
      </c>
      <c r="K278" s="320">
        <f>I278*IF(N('Предохранители'!F19)&gt;0,N('Предохранители'!F19),N('Предохранители'!G19))</f>
        <v>0</v>
      </c>
      <c r="L278" s="320">
        <f>N(L277)+(N(I278)&gt;0)</f>
        <v>0</v>
      </c>
    </row>
    <row r="279">
      <c r="A279" s="321" t="inlineStr">
        <is>
          <t xml:space="preserve">Предохранители</t>
        </is>
      </c>
      <c r="B279" s="314" t="str">
        <f>'Предохранители'!A20&amp;""</f>
        <v>PRM 30</v>
      </c>
      <c r="C279" s="315" t="str">
        <f>'Предохранители'!B20&amp;""</f>
        <v>30А, размер-mini</v>
      </c>
      <c r="D279" s="316" t="str">
        <f>IF('Предохранители'!H20="+","есть",IF('Предохранители'!H20="-","нет",""))</f>
        <v>есть</v>
      </c>
      <c r="E279" s="317"/>
      <c r="F279" s="318">
        <f>IF(N('Предохранители'!G20)&lt;=0,"по запросу",CHOOSE($K$3,IF(N('Предохранители'!E20)&gt;0,N('Предохранители'!E20),N('Предохранители'!G20)),IF(N('Предохранители'!F20)&gt;0,N('Предохранители'!F20),N('Предохранители'!G20)),N('Предохранители'!G20)))</f>
        <v>517.7</v>
      </c>
      <c r="G279" s="319" t="str">
        <f>IF(I279&lt;=0,"",IF(ISNUMBER(F279),I279*F279,"по запросу"))</f>
        <v/>
      </c>
      <c r="H279" s="320">
        <f>N('Предохранители'!I20)</f>
        <v>0</v>
      </c>
      <c r="I279" s="320">
        <f>IF(N(E279)&gt;0,N(E279),H279)</f>
        <v>0</v>
      </c>
      <c r="J279" s="320">
        <f>I279*IF(N('Предохранители'!E20)&gt;0,N('Предохранители'!E20),N('Предохранители'!G20))</f>
        <v>0</v>
      </c>
      <c r="K279" s="320">
        <f>I279*IF(N('Предохранители'!F20)&gt;0,N('Предохранители'!F20),N('Предохранители'!G20))</f>
        <v>0</v>
      </c>
      <c r="L279" s="320">
        <f>N(L278)+(N(I279)&gt;0)</f>
        <v>0</v>
      </c>
    </row>
    <row r="280">
      <c r="A280" s="321" t="inlineStr">
        <is>
          <t xml:space="preserve">Предохранители</t>
        </is>
      </c>
      <c r="B280" s="314" t="str">
        <f>'Предохранители'!A21&amp;""</f>
        <v>FN 20A</v>
      </c>
      <c r="C280" s="315" t="str">
        <f>'Предохранители'!B21&amp;""</f>
        <v>20А, размер-mini </v>
      </c>
      <c r="D280" s="316" t="str">
        <f>IF('Предохранители'!H21="+","есть",IF('Предохранители'!H21="-","нет",""))</f>
        <v>есть</v>
      </c>
      <c r="E280" s="317"/>
      <c r="F280" s="318">
        <f>IF(N('Предохранители'!G21)&lt;=0,"по запросу",CHOOSE($K$3,IF(N('Предохранители'!E21)&gt;0,N('Предохранители'!E21),N('Предохранители'!G21)),IF(N('Предохранители'!F21)&gt;0,N('Предохранители'!F21),N('Предохранители'!G21)),N('Предохранители'!G21)))</f>
        <v>641.3</v>
      </c>
      <c r="G280" s="319" t="str">
        <f>IF(I280&lt;=0,"",IF(ISNUMBER(F280),I280*F280,"по запросу"))</f>
        <v/>
      </c>
      <c r="H280" s="320">
        <f>N('Предохранители'!I21)</f>
        <v>0</v>
      </c>
      <c r="I280" s="320">
        <f>IF(N(E280)&gt;0,N(E280),H280)</f>
        <v>0</v>
      </c>
      <c r="J280" s="320">
        <f>I280*IF(N('Предохранители'!E21)&gt;0,N('Предохранители'!E21),N('Предохранители'!G21))</f>
        <v>0</v>
      </c>
      <c r="K280" s="320">
        <f>I280*IF(N('Предохранители'!F21)&gt;0,N('Предохранители'!F21),N('Предохранители'!G21))</f>
        <v>0</v>
      </c>
      <c r="L280" s="320">
        <f>N(L279)+(N(I280)&gt;0)</f>
        <v>0</v>
      </c>
    </row>
    <row r="281">
      <c r="A281" s="321" t="inlineStr">
        <is>
          <t xml:space="preserve">Предохранители</t>
        </is>
      </c>
      <c r="B281" s="314" t="str">
        <f>'Предохранители'!A22&amp;""</f>
        <v>FN 25A</v>
      </c>
      <c r="C281" s="315" t="str">
        <f>'Предохранители'!B22&amp;""</f>
        <v>25А, размер-mini </v>
      </c>
      <c r="D281" s="316" t="str">
        <f>IF('Предохранители'!H22="+","есть",IF('Предохранители'!H22="-","нет",""))</f>
        <v>есть</v>
      </c>
      <c r="E281" s="317"/>
      <c r="F281" s="318">
        <f>IF(N('Предохранители'!G22)&lt;=0,"по запросу",CHOOSE($K$3,IF(N('Предохранители'!E22)&gt;0,N('Предохранители'!E22),N('Предохранители'!G22)),IF(N('Предохранители'!F22)&gt;0,N('Предохранители'!F22),N('Предохранители'!G22)),N('Предохранители'!G22)))</f>
        <v>641.3</v>
      </c>
      <c r="G281" s="319" t="str">
        <f>IF(I281&lt;=0,"",IF(ISNUMBER(F281),I281*F281,"по запросу"))</f>
        <v/>
      </c>
      <c r="H281" s="320">
        <f>N('Предохранители'!I22)</f>
        <v>0</v>
      </c>
      <c r="I281" s="320">
        <f>IF(N(E281)&gt;0,N(E281),H281)</f>
        <v>0</v>
      </c>
      <c r="J281" s="320">
        <f>I281*IF(N('Предохранители'!E22)&gt;0,N('Предохранители'!E22),N('Предохранители'!G22))</f>
        <v>0</v>
      </c>
      <c r="K281" s="320">
        <f>I281*IF(N('Предохранители'!F22)&gt;0,N('Предохранители'!F22),N('Предохранители'!G22))</f>
        <v>0</v>
      </c>
      <c r="L281" s="320">
        <f>N(L280)+(N(I281)&gt;0)</f>
        <v>0</v>
      </c>
    </row>
    <row r="282">
      <c r="A282" s="321" t="inlineStr">
        <is>
          <t xml:space="preserve">Предохранители</t>
        </is>
      </c>
      <c r="B282" s="314" t="str">
        <f>'Предохранители'!A23&amp;""</f>
        <v>FN 30A</v>
      </c>
      <c r="C282" s="315" t="str">
        <f>'Предохранители'!B23&amp;""</f>
        <v>30А, размер-mini </v>
      </c>
      <c r="D282" s="316" t="str">
        <f>IF('Предохранители'!H23="+","есть",IF('Предохранители'!H23="-","нет",""))</f>
        <v>есть</v>
      </c>
      <c r="E282" s="317"/>
      <c r="F282" s="318">
        <f>IF(N('Предохранители'!G23)&lt;=0,"по запросу",CHOOSE($K$3,IF(N('Предохранители'!E23)&gt;0,N('Предохранители'!E23),N('Предохранители'!G23)),IF(N('Предохранители'!F23)&gt;0,N('Предохранители'!F23),N('Предохранители'!G23)),N('Предохранители'!G23)))</f>
        <v>641.3</v>
      </c>
      <c r="G282" s="319" t="str">
        <f>IF(I282&lt;=0,"",IF(ISNUMBER(F282),I282*F282,"по запросу"))</f>
        <v/>
      </c>
      <c r="H282" s="320">
        <f>N('Предохранители'!I23)</f>
        <v>0</v>
      </c>
      <c r="I282" s="320">
        <f>IF(N(E282)&gt;0,N(E282),H282)</f>
        <v>0</v>
      </c>
      <c r="J282" s="320">
        <f>I282*IF(N('Предохранители'!E23)&gt;0,N('Предохранители'!E23),N('Предохранители'!G23))</f>
        <v>0</v>
      </c>
      <c r="K282" s="320">
        <f>I282*IF(N('Предохранители'!F23)&gt;0,N('Предохранители'!F23),N('Предохранители'!G23))</f>
        <v>0</v>
      </c>
      <c r="L282" s="320">
        <f>N(L281)+(N(I282)&gt;0)</f>
        <v>0</v>
      </c>
    </row>
    <row r="283">
      <c r="A283" s="321" t="inlineStr">
        <is>
          <t xml:space="preserve">Предохранители</t>
        </is>
      </c>
      <c r="B283" s="314" t="str">
        <f>'Предохранители'!A24&amp;""</f>
        <v>PR 1</v>
      </c>
      <c r="C283" s="315" t="str">
        <f>'Предохранители'!B24&amp;""</f>
        <v>1А, размер-standard</v>
      </c>
      <c r="D283" s="316" t="str">
        <f>IF('Предохранители'!H24="+","есть",IF('Предохранители'!H24="-","нет",""))</f>
        <v>есть</v>
      </c>
      <c r="E283" s="317"/>
      <c r="F283" s="318">
        <f>IF(N('Предохранители'!G24)&lt;=0,"по запросу",CHOOSE($K$3,IF(N('Предохранители'!E24)&gt;0,N('Предохранители'!E24),N('Предохранители'!G24)),IF(N('Предохранители'!F24)&gt;0,N('Предохранители'!F24),N('Предохранители'!G24)),N('Предохранители'!G24)))</f>
        <v>464.9</v>
      </c>
      <c r="G283" s="319" t="str">
        <f>IF(I283&lt;=0,"",IF(ISNUMBER(F283),I283*F283,"по запросу"))</f>
        <v/>
      </c>
      <c r="H283" s="320">
        <f>N('Предохранители'!I24)</f>
        <v>0</v>
      </c>
      <c r="I283" s="320">
        <f>IF(N(E283)&gt;0,N(E283),H283)</f>
        <v>0</v>
      </c>
      <c r="J283" s="320">
        <f>I283*IF(N('Предохранители'!E24)&gt;0,N('Предохранители'!E24),N('Предохранители'!G24))</f>
        <v>0</v>
      </c>
      <c r="K283" s="320">
        <f>I283*IF(N('Предохранители'!F24)&gt;0,N('Предохранители'!F24),N('Предохранители'!G24))</f>
        <v>0</v>
      </c>
      <c r="L283" s="320">
        <f>N(L282)+(N(I283)&gt;0)</f>
        <v>0</v>
      </c>
    </row>
    <row r="284">
      <c r="A284" s="321" t="inlineStr">
        <is>
          <t xml:space="preserve">Предохранители</t>
        </is>
      </c>
      <c r="B284" s="314" t="str">
        <f>'Предохранители'!A25&amp;""</f>
        <v>PR 3</v>
      </c>
      <c r="C284" s="315" t="str">
        <f>'Предохранители'!B25&amp;""</f>
        <v>3А, размер-standard</v>
      </c>
      <c r="D284" s="316" t="str">
        <f>IF('Предохранители'!H25="+","есть",IF('Предохранители'!H25="-","нет",""))</f>
        <v>есть</v>
      </c>
      <c r="E284" s="317"/>
      <c r="F284" s="318">
        <f>IF(N('Предохранители'!G25)&lt;=0,"по запросу",CHOOSE($K$3,IF(N('Предохранители'!E25)&gt;0,N('Предохранители'!E25),N('Предохранители'!G25)),IF(N('Предохранители'!F25)&gt;0,N('Предохранители'!F25),N('Предохранители'!G25)),N('Предохранители'!G25)))</f>
        <v>464.9</v>
      </c>
      <c r="G284" s="319" t="str">
        <f>IF(I284&lt;=0,"",IF(ISNUMBER(F284),I284*F284,"по запросу"))</f>
        <v/>
      </c>
      <c r="H284" s="320">
        <f>N('Предохранители'!I25)</f>
        <v>0</v>
      </c>
      <c r="I284" s="320">
        <f>IF(N(E284)&gt;0,N(E284),H284)</f>
        <v>0</v>
      </c>
      <c r="J284" s="320">
        <f>I284*IF(N('Предохранители'!E25)&gt;0,N('Предохранители'!E25),N('Предохранители'!G25))</f>
        <v>0</v>
      </c>
      <c r="K284" s="320">
        <f>I284*IF(N('Предохранители'!F25)&gt;0,N('Предохранители'!F25),N('Предохранители'!G25))</f>
        <v>0</v>
      </c>
      <c r="L284" s="320">
        <f>N(L283)+(N(I284)&gt;0)</f>
        <v>0</v>
      </c>
    </row>
    <row r="285">
      <c r="A285" s="321" t="inlineStr">
        <is>
          <t xml:space="preserve">Предохранители</t>
        </is>
      </c>
      <c r="B285" s="314" t="str">
        <f>'Предохранители'!A26&amp;""</f>
        <v>PR 5</v>
      </c>
      <c r="C285" s="315" t="str">
        <f>'Предохранители'!B26&amp;""</f>
        <v>5А, размер-standard</v>
      </c>
      <c r="D285" s="316" t="str">
        <f>IF('Предохранители'!H26="+","есть",IF('Предохранители'!H26="-","нет",""))</f>
        <v>есть</v>
      </c>
      <c r="E285" s="317"/>
      <c r="F285" s="318">
        <f>IF(N('Предохранители'!G26)&lt;=0,"по запросу",CHOOSE($K$3,IF(N('Предохранители'!E26)&gt;0,N('Предохранители'!E26),N('Предохранители'!G26)),IF(N('Предохранители'!F26)&gt;0,N('Предохранители'!F26),N('Предохранители'!G26)),N('Предохранители'!G26)))</f>
        <v>464.9</v>
      </c>
      <c r="G285" s="319" t="str">
        <f>IF(I285&lt;=0,"",IF(ISNUMBER(F285),I285*F285,"по запросу"))</f>
        <v/>
      </c>
      <c r="H285" s="320">
        <f>N('Предохранители'!I26)</f>
        <v>0</v>
      </c>
      <c r="I285" s="320">
        <f>IF(N(E285)&gt;0,N(E285),H285)</f>
        <v>0</v>
      </c>
      <c r="J285" s="320">
        <f>I285*IF(N('Предохранители'!E26)&gt;0,N('Предохранители'!E26),N('Предохранители'!G26))</f>
        <v>0</v>
      </c>
      <c r="K285" s="320">
        <f>I285*IF(N('Предохранители'!F26)&gt;0,N('Предохранители'!F26),N('Предохранители'!G26))</f>
        <v>0</v>
      </c>
      <c r="L285" s="320">
        <f>N(L284)+(N(I285)&gt;0)</f>
        <v>0</v>
      </c>
    </row>
    <row r="286">
      <c r="A286" s="321" t="inlineStr">
        <is>
          <t xml:space="preserve">Предохранители</t>
        </is>
      </c>
      <c r="B286" s="314" t="str">
        <f>'Предохранители'!A27&amp;""</f>
        <v>PR 7,5</v>
      </c>
      <c r="C286" s="315" t="str">
        <f>'Предохранители'!B27&amp;""</f>
        <v>7,5А, размер-standard</v>
      </c>
      <c r="D286" s="316" t="str">
        <f>IF('Предохранители'!H27="+","есть",IF('Предохранители'!H27="-","нет",""))</f>
        <v>есть</v>
      </c>
      <c r="E286" s="317"/>
      <c r="F286" s="318">
        <f>IF(N('Предохранители'!G27)&lt;=0,"по запросу",CHOOSE($K$3,IF(N('Предохранители'!E27)&gt;0,N('Предохранители'!E27),N('Предохранители'!G27)),IF(N('Предохранители'!F27)&gt;0,N('Предохранители'!F27),N('Предохранители'!G27)),N('Предохранители'!G27)))</f>
        <v>464.9</v>
      </c>
      <c r="G286" s="319" t="str">
        <f>IF(I286&lt;=0,"",IF(ISNUMBER(F286),I286*F286,"по запросу"))</f>
        <v/>
      </c>
      <c r="H286" s="320">
        <f>N('Предохранители'!I27)</f>
        <v>0</v>
      </c>
      <c r="I286" s="320">
        <f>IF(N(E286)&gt;0,N(E286),H286)</f>
        <v>0</v>
      </c>
      <c r="J286" s="320">
        <f>I286*IF(N('Предохранители'!E27)&gt;0,N('Предохранители'!E27),N('Предохранители'!G27))</f>
        <v>0</v>
      </c>
      <c r="K286" s="320">
        <f>I286*IF(N('Предохранители'!F27)&gt;0,N('Предохранители'!F27),N('Предохранители'!G27))</f>
        <v>0</v>
      </c>
      <c r="L286" s="320">
        <f>N(L285)+(N(I286)&gt;0)</f>
        <v>0</v>
      </c>
    </row>
    <row r="287">
      <c r="A287" s="321" t="inlineStr">
        <is>
          <t xml:space="preserve">Предохранители</t>
        </is>
      </c>
      <c r="B287" s="314" t="str">
        <f>'Предохранители'!A28&amp;""</f>
        <v>PR 10</v>
      </c>
      <c r="C287" s="315" t="str">
        <f>'Предохранители'!B28&amp;""</f>
        <v>10А, размер-standard</v>
      </c>
      <c r="D287" s="316" t="str">
        <f>IF('Предохранители'!H28="+","есть",IF('Предохранители'!H28="-","нет",""))</f>
        <v>есть</v>
      </c>
      <c r="E287" s="317"/>
      <c r="F287" s="318">
        <f>IF(N('Предохранители'!G28)&lt;=0,"по запросу",CHOOSE($K$3,IF(N('Предохранители'!E28)&gt;0,N('Предохранители'!E28),N('Предохранители'!G28)),IF(N('Предохранители'!F28)&gt;0,N('Предохранители'!F28),N('Предохранители'!G28)),N('Предохранители'!G28)))</f>
        <v>464.9</v>
      </c>
      <c r="G287" s="319" t="str">
        <f>IF(I287&lt;=0,"",IF(ISNUMBER(F287),I287*F287,"по запросу"))</f>
        <v/>
      </c>
      <c r="H287" s="320">
        <f>N('Предохранители'!I28)</f>
        <v>0</v>
      </c>
      <c r="I287" s="320">
        <f>IF(N(E287)&gt;0,N(E287),H287)</f>
        <v>0</v>
      </c>
      <c r="J287" s="320">
        <f>I287*IF(N('Предохранители'!E28)&gt;0,N('Предохранители'!E28),N('Предохранители'!G28))</f>
        <v>0</v>
      </c>
      <c r="K287" s="320">
        <f>I287*IF(N('Предохранители'!F28)&gt;0,N('Предохранители'!F28),N('Предохранители'!G28))</f>
        <v>0</v>
      </c>
      <c r="L287" s="320">
        <f>N(L286)+(N(I287)&gt;0)</f>
        <v>0</v>
      </c>
    </row>
    <row r="288">
      <c r="A288" s="321" t="inlineStr">
        <is>
          <t xml:space="preserve">Предохранители</t>
        </is>
      </c>
      <c r="B288" s="314" t="str">
        <f>'Предохранители'!A29&amp;""</f>
        <v>PR 15</v>
      </c>
      <c r="C288" s="315" t="str">
        <f>'Предохранители'!B29&amp;""</f>
        <v>15А, размер-standard</v>
      </c>
      <c r="D288" s="316" t="str">
        <f>IF('Предохранители'!H29="+","есть",IF('Предохранители'!H29="-","нет",""))</f>
        <v>есть</v>
      </c>
      <c r="E288" s="317"/>
      <c r="F288" s="318">
        <f>IF(N('Предохранители'!G29)&lt;=0,"по запросу",CHOOSE($K$3,IF(N('Предохранители'!E29)&gt;0,N('Предохранители'!E29),N('Предохранители'!G29)),IF(N('Предохранители'!F29)&gt;0,N('Предохранители'!F29),N('Предохранители'!G29)),N('Предохранители'!G29)))</f>
        <v>464.9</v>
      </c>
      <c r="G288" s="319" t="str">
        <f>IF(I288&lt;=0,"",IF(ISNUMBER(F288),I288*F288,"по запросу"))</f>
        <v/>
      </c>
      <c r="H288" s="320">
        <f>N('Предохранители'!I29)</f>
        <v>0</v>
      </c>
      <c r="I288" s="320">
        <f>IF(N(E288)&gt;0,N(E288),H288)</f>
        <v>0</v>
      </c>
      <c r="J288" s="320">
        <f>I288*IF(N('Предохранители'!E29)&gt;0,N('Предохранители'!E29),N('Предохранители'!G29))</f>
        <v>0</v>
      </c>
      <c r="K288" s="320">
        <f>I288*IF(N('Предохранители'!F29)&gt;0,N('Предохранители'!F29),N('Предохранители'!G29))</f>
        <v>0</v>
      </c>
      <c r="L288" s="320">
        <f>N(L287)+(N(I288)&gt;0)</f>
        <v>0</v>
      </c>
    </row>
    <row r="289">
      <c r="A289" s="321" t="inlineStr">
        <is>
          <t xml:space="preserve">Предохранители</t>
        </is>
      </c>
      <c r="B289" s="314" t="str">
        <f>'Предохранители'!A30&amp;""</f>
        <v>PR 20</v>
      </c>
      <c r="C289" s="315" t="str">
        <f>'Предохранители'!B30&amp;""</f>
        <v>20А, размер-standard</v>
      </c>
      <c r="D289" s="316" t="str">
        <f>IF('Предохранители'!H30="+","есть",IF('Предохранители'!H30="-","нет",""))</f>
        <v>есть</v>
      </c>
      <c r="E289" s="317"/>
      <c r="F289" s="318">
        <f>IF(N('Предохранители'!G30)&lt;=0,"по запросу",CHOOSE($K$3,IF(N('Предохранители'!E30)&gt;0,N('Предохранители'!E30),N('Предохранители'!G30)),IF(N('Предохранители'!F30)&gt;0,N('Предохранители'!F30),N('Предохранители'!G30)),N('Предохранители'!G30)))</f>
        <v>464.9</v>
      </c>
      <c r="G289" s="319" t="str">
        <f>IF(I289&lt;=0,"",IF(ISNUMBER(F289),I289*F289,"по запросу"))</f>
        <v/>
      </c>
      <c r="H289" s="320">
        <f>N('Предохранители'!I30)</f>
        <v>0</v>
      </c>
      <c r="I289" s="320">
        <f>IF(N(E289)&gt;0,N(E289),H289)</f>
        <v>0</v>
      </c>
      <c r="J289" s="320">
        <f>I289*IF(N('Предохранители'!E30)&gt;0,N('Предохранители'!E30),N('Предохранители'!G30))</f>
        <v>0</v>
      </c>
      <c r="K289" s="320">
        <f>I289*IF(N('Предохранители'!F30)&gt;0,N('Предохранители'!F30),N('Предохранители'!G30))</f>
        <v>0</v>
      </c>
      <c r="L289" s="320">
        <f>N(L288)+(N(I289)&gt;0)</f>
        <v>0</v>
      </c>
    </row>
    <row r="290">
      <c r="A290" s="321" t="inlineStr">
        <is>
          <t xml:space="preserve">Предохранители</t>
        </is>
      </c>
      <c r="B290" s="314" t="str">
        <f>'Предохранители'!A31&amp;""</f>
        <v>PR 25</v>
      </c>
      <c r="C290" s="315" t="str">
        <f>'Предохранители'!B31&amp;""</f>
        <v>25А, размер-standard</v>
      </c>
      <c r="D290" s="316" t="str">
        <f>IF('Предохранители'!H31="+","есть",IF('Предохранители'!H31="-","нет",""))</f>
        <v>есть</v>
      </c>
      <c r="E290" s="317"/>
      <c r="F290" s="318">
        <f>IF(N('Предохранители'!G31)&lt;=0,"по запросу",CHOOSE($K$3,IF(N('Предохранители'!E31)&gt;0,N('Предохранители'!E31),N('Предохранители'!G31)),IF(N('Предохранители'!F31)&gt;0,N('Предохранители'!F31),N('Предохранители'!G31)),N('Предохранители'!G31)))</f>
        <v>464.9</v>
      </c>
      <c r="G290" s="319" t="str">
        <f>IF(I290&lt;=0,"",IF(ISNUMBER(F290),I290*F290,"по запросу"))</f>
        <v/>
      </c>
      <c r="H290" s="320">
        <f>N('Предохранители'!I31)</f>
        <v>0</v>
      </c>
      <c r="I290" s="320">
        <f>IF(N(E290)&gt;0,N(E290),H290)</f>
        <v>0</v>
      </c>
      <c r="J290" s="320">
        <f>I290*IF(N('Предохранители'!E31)&gt;0,N('Предохранители'!E31),N('Предохранители'!G31))</f>
        <v>0</v>
      </c>
      <c r="K290" s="320">
        <f>I290*IF(N('Предохранители'!F31)&gt;0,N('Предохранители'!F31),N('Предохранители'!G31))</f>
        <v>0</v>
      </c>
      <c r="L290" s="320">
        <f>N(L289)+(N(I290)&gt;0)</f>
        <v>0</v>
      </c>
    </row>
    <row r="291">
      <c r="A291" s="321" t="inlineStr">
        <is>
          <t xml:space="preserve">Предохранители</t>
        </is>
      </c>
      <c r="B291" s="314" t="str">
        <f>'Предохранители'!A32&amp;""</f>
        <v>PR 30</v>
      </c>
      <c r="C291" s="315" t="str">
        <f>'Предохранители'!B32&amp;""</f>
        <v>30А, размер-standard</v>
      </c>
      <c r="D291" s="316" t="str">
        <f>IF('Предохранители'!H32="+","есть",IF('Предохранители'!H32="-","нет",""))</f>
        <v>есть</v>
      </c>
      <c r="E291" s="317"/>
      <c r="F291" s="318">
        <f>IF(N('Предохранители'!G32)&lt;=0,"по запросу",CHOOSE($K$3,IF(N('Предохранители'!E32)&gt;0,N('Предохранители'!E32),N('Предохранители'!G32)),IF(N('Предохранители'!F32)&gt;0,N('Предохранители'!F32),N('Предохранители'!G32)),N('Предохранители'!G32)))</f>
        <v>464.9</v>
      </c>
      <c r="G291" s="319" t="str">
        <f>IF(I291&lt;=0,"",IF(ISNUMBER(F291),I291*F291,"по запросу"))</f>
        <v/>
      </c>
      <c r="H291" s="320">
        <f>N('Предохранители'!I32)</f>
        <v>0</v>
      </c>
      <c r="I291" s="320">
        <f>IF(N(E291)&gt;0,N(E291),H291)</f>
        <v>0</v>
      </c>
      <c r="J291" s="320">
        <f>I291*IF(N('Предохранители'!E32)&gt;0,N('Предохранители'!E32),N('Предохранители'!G32))</f>
        <v>0</v>
      </c>
      <c r="K291" s="320">
        <f>I291*IF(N('Предохранители'!F32)&gt;0,N('Предохранители'!F32),N('Предохранители'!G32))</f>
        <v>0</v>
      </c>
      <c r="L291" s="320">
        <f>N(L290)+(N(I291)&gt;0)</f>
        <v>0</v>
      </c>
    </row>
    <row r="292">
      <c r="A292" s="321" t="inlineStr">
        <is>
          <t xml:space="preserve">Предохранители</t>
        </is>
      </c>
      <c r="B292" s="314" t="str">
        <f>'Предохранители'!A33&amp;""</f>
        <v>PR 40</v>
      </c>
      <c r="C292" s="315" t="str">
        <f>'Предохранители'!B33&amp;""</f>
        <v>40А, размер-standard</v>
      </c>
      <c r="D292" s="316" t="str">
        <f>IF('Предохранители'!H33="+","есть",IF('Предохранители'!H33="-","нет",""))</f>
        <v>есть</v>
      </c>
      <c r="E292" s="317"/>
      <c r="F292" s="318">
        <f>IF(N('Предохранители'!G33)&lt;=0,"по запросу",CHOOSE($K$3,IF(N('Предохранители'!E33)&gt;0,N('Предохранители'!E33),N('Предохранители'!G33)),IF(N('Предохранители'!F33)&gt;0,N('Предохранители'!F33),N('Предохранители'!G33)),N('Предохранители'!G33)))</f>
        <v>464.9</v>
      </c>
      <c r="G292" s="319" t="str">
        <f>IF(I292&lt;=0,"",IF(ISNUMBER(F292),I292*F292,"по запросу"))</f>
        <v/>
      </c>
      <c r="H292" s="320">
        <f>N('Предохранители'!I33)</f>
        <v>0</v>
      </c>
      <c r="I292" s="320">
        <f>IF(N(E292)&gt;0,N(E292),H292)</f>
        <v>0</v>
      </c>
      <c r="J292" s="320">
        <f>I292*IF(N('Предохранители'!E33)&gt;0,N('Предохранители'!E33),N('Предохранители'!G33))</f>
        <v>0</v>
      </c>
      <c r="K292" s="320">
        <f>I292*IF(N('Предохранители'!F33)&gt;0,N('Предохранители'!F33),N('Предохранители'!G33))</f>
        <v>0</v>
      </c>
      <c r="L292" s="320">
        <f>N(L291)+(N(I292)&gt;0)</f>
        <v>0</v>
      </c>
    </row>
    <row r="293">
      <c r="A293" s="321" t="inlineStr">
        <is>
          <t xml:space="preserve">Предохранители</t>
        </is>
      </c>
      <c r="B293" s="314" t="str">
        <f>'Предохранители'!A34&amp;""</f>
        <v>PRX 20</v>
      </c>
      <c r="C293" s="315" t="str">
        <f>'Предохранители'!B34&amp;""</f>
        <v>20А, размер-maxi</v>
      </c>
      <c r="D293" s="316" t="str">
        <f>IF('Предохранители'!H34="+","есть",IF('Предохранители'!H34="-","нет",""))</f>
        <v>есть</v>
      </c>
      <c r="E293" s="317"/>
      <c r="F293" s="318">
        <f>IF(N('Предохранители'!G34)&lt;=0,"по запросу",CHOOSE($K$3,IF(N('Предохранители'!E34)&gt;0,N('Предохранители'!E34),N('Предохранители'!G34)),IF(N('Предохранители'!F34)&gt;0,N('Предохранители'!F34),N('Предохранители'!G34)),N('Предохранители'!G34)))</f>
        <v>1844.6</v>
      </c>
      <c r="G293" s="319" t="str">
        <f>IF(I293&lt;=0,"",IF(ISNUMBER(F293),I293*F293,"по запросу"))</f>
        <v/>
      </c>
      <c r="H293" s="320">
        <f>N('Предохранители'!I34)</f>
        <v>0</v>
      </c>
      <c r="I293" s="320">
        <f>IF(N(E293)&gt;0,N(E293),H293)</f>
        <v>0</v>
      </c>
      <c r="J293" s="320">
        <f>I293*IF(N('Предохранители'!E34)&gt;0,N('Предохранители'!E34),N('Предохранители'!G34))</f>
        <v>0</v>
      </c>
      <c r="K293" s="320">
        <f>I293*IF(N('Предохранители'!F34)&gt;0,N('Предохранители'!F34),N('Предохранители'!G34))</f>
        <v>0</v>
      </c>
      <c r="L293" s="320">
        <f>N(L292)+(N(I293)&gt;0)</f>
        <v>0</v>
      </c>
    </row>
    <row r="294">
      <c r="A294" s="321" t="inlineStr">
        <is>
          <t xml:space="preserve">Предохранители</t>
        </is>
      </c>
      <c r="B294" s="314" t="str">
        <f>'Предохранители'!A35&amp;""</f>
        <v>PRX 30</v>
      </c>
      <c r="C294" s="315" t="str">
        <f>'Предохранители'!B35&amp;""</f>
        <v>30А, размер-maxi</v>
      </c>
      <c r="D294" s="316" t="str">
        <f>IF('Предохранители'!H35="+","есть",IF('Предохранители'!H35="-","нет",""))</f>
        <v>есть</v>
      </c>
      <c r="E294" s="317"/>
      <c r="F294" s="318">
        <f>IF(N('Предохранители'!G35)&lt;=0,"по запросу",CHOOSE($K$3,IF(N('Предохранители'!E35)&gt;0,N('Предохранители'!E35),N('Предохранители'!G35)),IF(N('Предохранители'!F35)&gt;0,N('Предохранители'!F35),N('Предохранители'!G35)),N('Предохранители'!G35)))</f>
        <v>1844.6</v>
      </c>
      <c r="G294" s="319" t="str">
        <f>IF(I294&lt;=0,"",IF(ISNUMBER(F294),I294*F294,"по запросу"))</f>
        <v/>
      </c>
      <c r="H294" s="320">
        <f>N('Предохранители'!I35)</f>
        <v>0</v>
      </c>
      <c r="I294" s="320">
        <f>IF(N(E294)&gt;0,N(E294),H294)</f>
        <v>0</v>
      </c>
      <c r="J294" s="320">
        <f>I294*IF(N('Предохранители'!E35)&gt;0,N('Предохранители'!E35),N('Предохранители'!G35))</f>
        <v>0</v>
      </c>
      <c r="K294" s="320">
        <f>I294*IF(N('Предохранители'!F35)&gt;0,N('Предохранители'!F35),N('Предохранители'!G35))</f>
        <v>0</v>
      </c>
      <c r="L294" s="320">
        <f>N(L293)+(N(I294)&gt;0)</f>
        <v>0</v>
      </c>
    </row>
    <row r="295" ht="20" customHeight="1">
      <c r="A295" s="321" t="inlineStr">
        <is>
          <t xml:space="preserve">Предохранители</t>
        </is>
      </c>
      <c r="B295" s="312" t="inlineStr">
        <is>
          <t xml:space="preserve">Наборы предохранителей:</t>
        </is>
      </c>
      <c r="L295" s="320">
        <f>N(L294)+(N(I295)&gt;0)</f>
        <v>0</v>
      </c>
    </row>
    <row r="296">
      <c r="A296" s="321" t="inlineStr">
        <is>
          <t xml:space="preserve">Предохранители</t>
        </is>
      </c>
      <c r="B296" s="314" t="str">
        <f>'Предохранители'!A37&amp;""</f>
        <v>F 152</v>
      </c>
      <c r="C296" s="315" t="str">
        <f>'Предохранители'!B37&amp;""</f>
        <v>Комплект предохранителей 10шт; 5А-25А; тип "ТОРПЕДО"; блистер</v>
      </c>
      <c r="D296" s="316" t="str">
        <f>IF('Предохранители'!H37="+","есть",IF('Предохранители'!H37="-","нет",""))</f>
        <v>есть</v>
      </c>
      <c r="E296" s="317"/>
      <c r="F296" s="318">
        <f>IF(N('Предохранители'!G37)&lt;=0,"по запросу",CHOOSE($K$3,IF(N('Предохранители'!E37)&gt;0,N('Предохранители'!E37),N('Предохранители'!G37)),IF(N('Предохранители'!F37)&gt;0,N('Предохранители'!F37),N('Предохранители'!G37)),N('Предохранители'!G37)))</f>
        <v>123</v>
      </c>
      <c r="G296" s="319" t="str">
        <f>IF(I296&lt;=0,"",IF(ISNUMBER(F296),I296*F296,"по запросу"))</f>
        <v/>
      </c>
      <c r="H296" s="320">
        <f>N('Предохранители'!I37)</f>
        <v>0</v>
      </c>
      <c r="I296" s="320">
        <f>IF(N(E296)&gt;0,N(E296),H296)</f>
        <v>0</v>
      </c>
      <c r="J296" s="320">
        <f>I296*IF(N('Предохранители'!E37)&gt;0,N('Предохранители'!E37),N('Предохранители'!G37))</f>
        <v>0</v>
      </c>
      <c r="K296" s="320">
        <f>I296*IF(N('Предохранители'!F37)&gt;0,N('Предохранители'!F37),N('Предохранители'!G37))</f>
        <v>0</v>
      </c>
      <c r="L296" s="320">
        <f>N(L295)+(N(I296)&gt;0)</f>
        <v>0</v>
      </c>
    </row>
    <row r="297" ht="20" customHeight="1">
      <c r="A297" s="321" t="inlineStr">
        <is>
          <t xml:space="preserve">Предохранители</t>
        </is>
      </c>
      <c r="B297" s="312" t="inlineStr">
        <is>
          <t xml:space="preserve">Держатель предохранителей/разветвитель, 25 шт:</t>
        </is>
      </c>
      <c r="L297" s="320">
        <f>N(L296)+(N(I297)&gt;0)</f>
        <v>0</v>
      </c>
    </row>
    <row r="298">
      <c r="A298" s="321" t="inlineStr">
        <is>
          <t xml:space="preserve">Предохранители</t>
        </is>
      </c>
      <c r="B298" s="314" t="str">
        <f>'Предохранители'!A39&amp;""</f>
        <v>DPRC 7,5 micro</v>
      </c>
      <c r="C298" s="315" t="str">
        <f>'Предохранители'!B39&amp;""</f>
        <v>для 7,5А, с крышкой; VINYL, размер-micro, сечение провода 1,3 мм²</v>
      </c>
      <c r="D298" s="316" t="str">
        <f>IF('Предохранители'!H39="+","есть",IF('Предохранители'!H39="-","нет",""))</f>
        <v>есть</v>
      </c>
      <c r="E298" s="317"/>
      <c r="F298" s="318">
        <f>IF(N('Предохранители'!G39)&lt;=0,"по запросу",CHOOSE($K$3,IF(N('Предохранители'!E39)&gt;0,N('Предохранители'!E39),N('Предохранители'!G39)),IF(N('Предохранители'!F39)&gt;0,N('Предохранители'!F39),N('Предохранители'!G39)),N('Предохранители'!G39)))</f>
        <v>2412.4</v>
      </c>
      <c r="G298" s="319" t="str">
        <f>IF(I298&lt;=0,"",IF(ISNUMBER(F298),I298*F298,"по запросу"))</f>
        <v/>
      </c>
      <c r="H298" s="320">
        <f>N('Предохранители'!I39)</f>
        <v>0</v>
      </c>
      <c r="I298" s="320">
        <f>IF(N(E298)&gt;0,N(E298),H298)</f>
        <v>0</v>
      </c>
      <c r="J298" s="320">
        <f>I298*IF(N('Предохранители'!E39)&gt;0,N('Предохранители'!E39),N('Предохранители'!G39))</f>
        <v>0</v>
      </c>
      <c r="K298" s="320">
        <f>I298*IF(N('Предохранители'!F39)&gt;0,N('Предохранители'!F39),N('Предохранители'!G39))</f>
        <v>0</v>
      </c>
      <c r="L298" s="320">
        <f>N(L297)+(N(I298)&gt;0)</f>
        <v>0</v>
      </c>
    </row>
    <row r="299">
      <c r="A299" s="321" t="inlineStr">
        <is>
          <t xml:space="preserve">Предохранители</t>
        </is>
      </c>
      <c r="B299" s="314" t="str">
        <f>'Предохранители'!A40&amp;""</f>
        <v>DPRC 20 micro</v>
      </c>
      <c r="C299" s="315" t="str">
        <f>'Предохранители'!B40&amp;""</f>
        <v>для 20А, с крышкой; VINYL, размер-micro, сечение провода 3,3 мм²</v>
      </c>
      <c r="D299" s="316" t="str">
        <f>IF('Предохранители'!H40="+","есть",IF('Предохранители'!H40="-","нет",""))</f>
        <v>есть</v>
      </c>
      <c r="E299" s="317"/>
      <c r="F299" s="318">
        <f>IF(N('Предохранители'!G40)&lt;=0,"по запросу",CHOOSE($K$3,IF(N('Предохранители'!E40)&gt;0,N('Предохранители'!E40),N('Предохранители'!G40)),IF(N('Предохранители'!F40)&gt;0,N('Предохранители'!F40),N('Предохранители'!G40)),N('Предохранители'!G40)))</f>
        <v>2715.1</v>
      </c>
      <c r="G299" s="319" t="str">
        <f>IF(I299&lt;=0,"",IF(ISNUMBER(F299),I299*F299,"по запросу"))</f>
        <v/>
      </c>
      <c r="H299" s="320">
        <f>N('Предохранители'!I40)</f>
        <v>0</v>
      </c>
      <c r="I299" s="320">
        <f>IF(N(E299)&gt;0,N(E299),H299)</f>
        <v>0</v>
      </c>
      <c r="J299" s="320">
        <f>I299*IF(N('Предохранители'!E40)&gt;0,N('Предохранители'!E40),N('Предохранители'!G40))</f>
        <v>0</v>
      </c>
      <c r="K299" s="320">
        <f>I299*IF(N('Предохранители'!F40)&gt;0,N('Предохранители'!F40),N('Предохранители'!G40))</f>
        <v>0</v>
      </c>
      <c r="L299" s="320">
        <f>N(L298)+(N(I299)&gt;0)</f>
        <v>0</v>
      </c>
    </row>
    <row r="300" ht="20" customHeight="1">
      <c r="A300" s="321" t="inlineStr">
        <is>
          <t xml:space="preserve">Предохранители</t>
        </is>
      </c>
      <c r="B300" s="312" t="inlineStr">
        <is>
          <t xml:space="preserve">Держатель предохранителей, 25 шт:</t>
        </is>
      </c>
      <c r="L300" s="320">
        <f>N(L299)+(N(I300)&gt;0)</f>
        <v>0</v>
      </c>
    </row>
    <row r="301">
      <c r="A301" s="321" t="inlineStr">
        <is>
          <t xml:space="preserve">Предохранители</t>
        </is>
      </c>
      <c r="B301" s="314" t="str">
        <f>'Предохранители'!A42&amp;""</f>
        <v>DPRC 7,5 mini</v>
      </c>
      <c r="C301" s="315" t="str">
        <f>'Предохранители'!B42&amp;""</f>
        <v>для 7,5А, с крышкой; VINYL, размер-mini, сечение провода 1,3 мм²</v>
      </c>
      <c r="D301" s="316" t="str">
        <f>IF('Предохранители'!H42="+","есть",IF('Предохранители'!H42="-","нет",""))</f>
        <v>есть</v>
      </c>
      <c r="E301" s="317"/>
      <c r="F301" s="318">
        <f>IF(N('Предохранители'!G42)&lt;=0,"по запросу",CHOOSE($K$3,IF(N('Предохранители'!E42)&gt;0,N('Предохранители'!E42),N('Предохранители'!G42)),IF(N('Предохранители'!F42)&gt;0,N('Предохранители'!F42),N('Предохранители'!G42)),N('Предохранители'!G42)))</f>
        <v>2412.4</v>
      </c>
      <c r="G301" s="319" t="str">
        <f>IF(I301&lt;=0,"",IF(ISNUMBER(F301),I301*F301,"по запросу"))</f>
        <v/>
      </c>
      <c r="H301" s="320">
        <f>N('Предохранители'!I42)</f>
        <v>0</v>
      </c>
      <c r="I301" s="320">
        <f>IF(N(E301)&gt;0,N(E301),H301)</f>
        <v>0</v>
      </c>
      <c r="J301" s="320">
        <f>I301*IF(N('Предохранители'!E42)&gt;0,N('Предохранители'!E42),N('Предохранители'!G42))</f>
        <v>0</v>
      </c>
      <c r="K301" s="320">
        <f>I301*IF(N('Предохранители'!F42)&gt;0,N('Предохранители'!F42),N('Предохранители'!G42))</f>
        <v>0</v>
      </c>
      <c r="L301" s="320">
        <f>N(L300)+(N(I301)&gt;0)</f>
        <v>0</v>
      </c>
    </row>
    <row r="302">
      <c r="A302" s="321" t="inlineStr">
        <is>
          <t xml:space="preserve">Предохранители</t>
        </is>
      </c>
      <c r="B302" s="314" t="str">
        <f>'Предохранители'!A43&amp;""</f>
        <v>DPRC 20 mini</v>
      </c>
      <c r="C302" s="315" t="str">
        <f>'Предохранители'!B43&amp;""</f>
        <v>для 20А, с крышкой; VINYL, размер-mini, сечение провода 3,3 мм²</v>
      </c>
      <c r="D302" s="316" t="str">
        <f>IF('Предохранители'!H43="+","есть",IF('Предохранители'!H43="-","нет",""))</f>
        <v>есть</v>
      </c>
      <c r="E302" s="317"/>
      <c r="F302" s="318">
        <f>IF(N('Предохранители'!G43)&lt;=0,"по запросу",CHOOSE($K$3,IF(N('Предохранители'!E43)&gt;0,N('Предохранители'!E43),N('Предохранители'!G43)),IF(N('Предохранители'!F43)&gt;0,N('Предохранители'!F43),N('Предохранители'!G43)),N('Предохранители'!G43)))</f>
        <v>2715.1</v>
      </c>
      <c r="G302" s="319" t="str">
        <f>IF(I302&lt;=0,"",IF(ISNUMBER(F302),I302*F302,"по запросу"))</f>
        <v/>
      </c>
      <c r="H302" s="320">
        <f>N('Предохранители'!I43)</f>
        <v>0</v>
      </c>
      <c r="I302" s="320">
        <f>IF(N(E302)&gt;0,N(E302),H302)</f>
        <v>0</v>
      </c>
      <c r="J302" s="320">
        <f>I302*IF(N('Предохранители'!E43)&gt;0,N('Предохранители'!E43),N('Предохранители'!G43))</f>
        <v>0</v>
      </c>
      <c r="K302" s="320">
        <f>I302*IF(N('Предохранители'!F43)&gt;0,N('Предохранители'!F43),N('Предохранители'!G43))</f>
        <v>0</v>
      </c>
      <c r="L302" s="320">
        <f>N(L301)+(N(I302)&gt;0)</f>
        <v>0</v>
      </c>
    </row>
    <row r="303">
      <c r="A303" s="321" t="inlineStr">
        <is>
          <t xml:space="preserve">Предохранители</t>
        </is>
      </c>
      <c r="B303" s="314" t="str">
        <f>'Предохранители'!A44&amp;""</f>
        <v>DPRC 7,5 RED</v>
      </c>
      <c r="C303" s="315" t="str">
        <f>'Предохранители'!B44&amp;""</f>
        <v>для 7,5А, с крышкой; VINYL, размер-standart, красн., сечение провода 1,3 мм²</v>
      </c>
      <c r="D303" s="316" t="str">
        <f>IF('Предохранители'!H44="+","есть",IF('Предохранители'!H44="-","нет",""))</f>
        <v>есть</v>
      </c>
      <c r="E303" s="317"/>
      <c r="F303" s="318">
        <f>IF(N('Предохранители'!G44)&lt;=0,"по запросу",CHOOSE($K$3,IF(N('Предохранители'!E44)&gt;0,N('Предохранители'!E44),N('Предохранители'!G44)),IF(N('Предохранители'!F44)&gt;0,N('Предохранители'!F44),N('Предохранители'!G44)),N('Предохранители'!G44)))</f>
        <v>2237.5</v>
      </c>
      <c r="G303" s="319" t="str">
        <f>IF(I303&lt;=0,"",IF(ISNUMBER(F303),I303*F303,"по запросу"))</f>
        <v/>
      </c>
      <c r="H303" s="320">
        <f>N('Предохранители'!I44)</f>
        <v>0</v>
      </c>
      <c r="I303" s="320">
        <f>IF(N(E303)&gt;0,N(E303),H303)</f>
        <v>0</v>
      </c>
      <c r="J303" s="320">
        <f>I303*IF(N('Предохранители'!E44)&gt;0,N('Предохранители'!E44),N('Предохранители'!G44))</f>
        <v>0</v>
      </c>
      <c r="K303" s="320">
        <f>I303*IF(N('Предохранители'!F44)&gt;0,N('Предохранители'!F44),N('Предохранители'!G44))</f>
        <v>0</v>
      </c>
      <c r="L303" s="320">
        <f>N(L302)+(N(I303)&gt;0)</f>
        <v>0</v>
      </c>
    </row>
    <row r="304">
      <c r="A304" s="321" t="inlineStr">
        <is>
          <t xml:space="preserve">Предохранители</t>
        </is>
      </c>
      <c r="B304" s="314" t="str">
        <f>'Предохранители'!A45&amp;""</f>
        <v>DPRC 15 RED</v>
      </c>
      <c r="C304" s="315" t="str">
        <f>'Предохранители'!B45&amp;""</f>
        <v>для 15А, с крышкой;  VINYL, размер-standart, красн., сечение провода 2,1 мм²</v>
      </c>
      <c r="D304" s="316" t="str">
        <f>IF('Предохранители'!H45="+","есть",IF('Предохранители'!H45="-","нет",""))</f>
        <v>есть</v>
      </c>
      <c r="E304" s="317"/>
      <c r="F304" s="318">
        <f>IF(N('Предохранители'!G45)&lt;=0,"по запросу",CHOOSE($K$3,IF(N('Предохранители'!E45)&gt;0,N('Предохранители'!E45),N('Предохранители'!G45)),IF(N('Предохранители'!F45)&gt;0,N('Предохранители'!F45),N('Предохранители'!G45)),N('Предохранители'!G45)))</f>
        <v>2477</v>
      </c>
      <c r="G304" s="319" t="str">
        <f>IF(I304&lt;=0,"",IF(ISNUMBER(F304),I304*F304,"по запросу"))</f>
        <v/>
      </c>
      <c r="H304" s="320">
        <f>N('Предохранители'!I45)</f>
        <v>0</v>
      </c>
      <c r="I304" s="320">
        <f>IF(N(E304)&gt;0,N(E304),H304)</f>
        <v>0</v>
      </c>
      <c r="J304" s="320">
        <f>I304*IF(N('Предохранители'!E45)&gt;0,N('Предохранители'!E45),N('Предохранители'!G45))</f>
        <v>0</v>
      </c>
      <c r="K304" s="320">
        <f>I304*IF(N('Предохранители'!F45)&gt;0,N('Предохранители'!F45),N('Предохранители'!G45))</f>
        <v>0</v>
      </c>
      <c r="L304" s="320">
        <f>N(L303)+(N(I304)&gt;0)</f>
        <v>0</v>
      </c>
    </row>
    <row r="305">
      <c r="A305" s="321" t="inlineStr">
        <is>
          <t xml:space="preserve">Предохранители</t>
        </is>
      </c>
      <c r="B305" s="314" t="str">
        <f>'Предохранители'!A46&amp;""</f>
        <v>DPRC 20 RED</v>
      </c>
      <c r="C305" s="315" t="str">
        <f>'Предохранители'!B46&amp;""</f>
        <v>для 20А, с крышкой;  VINYL, размер-standart, красн., сечение провода 3,3 мм²</v>
      </c>
      <c r="D305" s="316" t="str">
        <f>IF('Предохранители'!H46="+","есть",IF('Предохранители'!H46="-","нет",""))</f>
        <v>есть</v>
      </c>
      <c r="E305" s="317"/>
      <c r="F305" s="318">
        <f>IF(N('Предохранители'!G46)&lt;=0,"по запросу",CHOOSE($K$3,IF(N('Предохранители'!E46)&gt;0,N('Предохранители'!E46),N('Предохранители'!G46)),IF(N('Предохранители'!F46)&gt;0,N('Предохранители'!F46),N('Предохранители'!G46)),N('Предохранители'!G46)))</f>
        <v>2821.3</v>
      </c>
      <c r="G305" s="319" t="str">
        <f>IF(I305&lt;=0,"",IF(ISNUMBER(F305),I305*F305,"по запросу"))</f>
        <v/>
      </c>
      <c r="H305" s="320">
        <f>N('Предохранители'!I46)</f>
        <v>0</v>
      </c>
      <c r="I305" s="320">
        <f>IF(N(E305)&gt;0,N(E305),H305)</f>
        <v>0</v>
      </c>
      <c r="J305" s="320">
        <f>I305*IF(N('Предохранители'!E46)&gt;0,N('Предохранители'!E46),N('Предохранители'!G46))</f>
        <v>0</v>
      </c>
      <c r="K305" s="320">
        <f>I305*IF(N('Предохранители'!F46)&gt;0,N('Предохранители'!F46),N('Предохранители'!G46))</f>
        <v>0</v>
      </c>
      <c r="L305" s="320">
        <f>N(L304)+(N(I305)&gt;0)</f>
        <v>0</v>
      </c>
    </row>
    <row r="306">
      <c r="A306" s="321" t="inlineStr">
        <is>
          <t xml:space="preserve">Предохранители</t>
        </is>
      </c>
      <c r="B306" s="314" t="str">
        <f>'Предохранители'!A47&amp;""</f>
        <v>DPRC 30 RED</v>
      </c>
      <c r="C306" s="315" t="str">
        <f>'Предохранители'!B47&amp;""</f>
        <v>для 30А, с крышкой;  VINYL, размер-standart, красн., сечение провода 5,3 мм²</v>
      </c>
      <c r="D306" s="316" t="str">
        <f>IF('Предохранители'!H47="+","есть",IF('Предохранители'!H47="-","нет",""))</f>
        <v>есть</v>
      </c>
      <c r="E306" s="317"/>
      <c r="F306" s="318">
        <f>IF(N('Предохранители'!G47)&lt;=0,"по запросу",CHOOSE($K$3,IF(N('Предохранители'!E47)&gt;0,N('Предохранители'!E47),N('Предохранители'!G47)),IF(N('Предохранители'!F47)&gt;0,N('Предохранители'!F47),N('Предохранители'!G47)),N('Предохранители'!G47)))</f>
        <v>4099.8</v>
      </c>
      <c r="G306" s="319" t="str">
        <f>IF(I306&lt;=0,"",IF(ISNUMBER(F306),I306*F306,"по запросу"))</f>
        <v/>
      </c>
      <c r="H306" s="320">
        <f>N('Предохранители'!I47)</f>
        <v>0</v>
      </c>
      <c r="I306" s="320">
        <f>IF(N(E306)&gt;0,N(E306),H306)</f>
        <v>0</v>
      </c>
      <c r="J306" s="320">
        <f>I306*IF(N('Предохранители'!E47)&gt;0,N('Предохранители'!E47),N('Предохранители'!G47))</f>
        <v>0</v>
      </c>
      <c r="K306" s="320">
        <f>I306*IF(N('Предохранители'!F47)&gt;0,N('Предохранители'!F47),N('Предохранители'!G47))</f>
        <v>0</v>
      </c>
      <c r="L306" s="320">
        <f>N(L305)+(N(I306)&gt;0)</f>
        <v>0</v>
      </c>
    </row>
    <row r="307">
      <c r="A307" s="321" t="inlineStr">
        <is>
          <t xml:space="preserve">Предохранители</t>
        </is>
      </c>
      <c r="B307" s="314" t="str">
        <f>'Предохранители'!A48&amp;""</f>
        <v>DPRC 7,5 BLACK</v>
      </c>
      <c r="C307" s="315" t="str">
        <f>'Предохранители'!B48&amp;""</f>
        <v>для 7,5А, с крышкой; VINYL, размер-standart, черн., сечение провода 1,3 мм²</v>
      </c>
      <c r="D307" s="316" t="str">
        <f>IF('Предохранители'!H48="+","есть",IF('Предохранители'!H48="-","нет",""))</f>
        <v>есть</v>
      </c>
      <c r="E307" s="317"/>
      <c r="F307" s="318">
        <f>IF(N('Предохранители'!G48)&lt;=0,"по запросу",CHOOSE($K$3,IF(N('Предохранители'!E48)&gt;0,N('Предохранители'!E48),N('Предохранители'!G48)),IF(N('Предохранители'!F48)&gt;0,N('Предохранители'!F48),N('Предохранители'!G48)),N('Предохранители'!G48)))</f>
        <v>2237.5</v>
      </c>
      <c r="G307" s="319" t="str">
        <f>IF(I307&lt;=0,"",IF(ISNUMBER(F307),I307*F307,"по запросу"))</f>
        <v/>
      </c>
      <c r="H307" s="320">
        <f>N('Предохранители'!I48)</f>
        <v>0</v>
      </c>
      <c r="I307" s="320">
        <f>IF(N(E307)&gt;0,N(E307),H307)</f>
        <v>0</v>
      </c>
      <c r="J307" s="320">
        <f>I307*IF(N('Предохранители'!E48)&gt;0,N('Предохранители'!E48),N('Предохранители'!G48))</f>
        <v>0</v>
      </c>
      <c r="K307" s="320">
        <f>I307*IF(N('Предохранители'!F48)&gt;0,N('Предохранители'!F48),N('Предохранители'!G48))</f>
        <v>0</v>
      </c>
      <c r="L307" s="320">
        <f>N(L306)+(N(I307)&gt;0)</f>
        <v>0</v>
      </c>
    </row>
    <row r="308">
      <c r="A308" s="321" t="inlineStr">
        <is>
          <t xml:space="preserve">Предохранители</t>
        </is>
      </c>
      <c r="B308" s="314" t="str">
        <f>'Предохранители'!A49&amp;""</f>
        <v>DPRC 15 BLACK</v>
      </c>
      <c r="C308" s="315" t="str">
        <f>'Предохранители'!B49&amp;""</f>
        <v>для 15А, с крышкой;  VINYL, размер-standart, черн., сечение провода 2,1 мм²</v>
      </c>
      <c r="D308" s="316" t="str">
        <f>IF('Предохранители'!H49="+","есть",IF('Предохранители'!H49="-","нет",""))</f>
        <v>есть</v>
      </c>
      <c r="E308" s="317"/>
      <c r="F308" s="318">
        <f>IF(N('Предохранители'!G49)&lt;=0,"по запросу",CHOOSE($K$3,IF(N('Предохранители'!E49)&gt;0,N('Предохранители'!E49),N('Предохранители'!G49)),IF(N('Предохранители'!F49)&gt;0,N('Предохранители'!F49),N('Предохранители'!G49)),N('Предохранители'!G49)))</f>
        <v>2477</v>
      </c>
      <c r="G308" s="319" t="str">
        <f>IF(I308&lt;=0,"",IF(ISNUMBER(F308),I308*F308,"по запросу"))</f>
        <v/>
      </c>
      <c r="H308" s="320">
        <f>N('Предохранители'!I49)</f>
        <v>0</v>
      </c>
      <c r="I308" s="320">
        <f>IF(N(E308)&gt;0,N(E308),H308)</f>
        <v>0</v>
      </c>
      <c r="J308" s="320">
        <f>I308*IF(N('Предохранители'!E49)&gt;0,N('Предохранители'!E49),N('Предохранители'!G49))</f>
        <v>0</v>
      </c>
      <c r="K308" s="320">
        <f>I308*IF(N('Предохранители'!F49)&gt;0,N('Предохранители'!F49),N('Предохранители'!G49))</f>
        <v>0</v>
      </c>
      <c r="L308" s="320">
        <f>N(L307)+(N(I308)&gt;0)</f>
        <v>0</v>
      </c>
    </row>
    <row r="309">
      <c r="A309" s="321" t="inlineStr">
        <is>
          <t xml:space="preserve">Предохранители</t>
        </is>
      </c>
      <c r="B309" s="314" t="str">
        <f>'Предохранители'!A50&amp;""</f>
        <v>DPRC 20 BLACK</v>
      </c>
      <c r="C309" s="315" t="str">
        <f>'Предохранители'!B50&amp;""</f>
        <v>для 20А, с крышкой;  VINYL, размер-standart, черн., сечение провода 3,3 мм²</v>
      </c>
      <c r="D309" s="316" t="str">
        <f>IF('Предохранители'!H50="+","есть",IF('Предохранители'!H50="-","нет",""))</f>
        <v>есть</v>
      </c>
      <c r="E309" s="317"/>
      <c r="F309" s="318">
        <f>IF(N('Предохранители'!G50)&lt;=0,"по запросу",CHOOSE($K$3,IF(N('Предохранители'!E50)&gt;0,N('Предохранители'!E50),N('Предохранители'!G50)),IF(N('Предохранители'!F50)&gt;0,N('Предохранители'!F50),N('Предохранители'!G50)),N('Предохранители'!G50)))</f>
        <v>2821.3</v>
      </c>
      <c r="G309" s="319" t="str">
        <f>IF(I309&lt;=0,"",IF(ISNUMBER(F309),I309*F309,"по запросу"))</f>
        <v/>
      </c>
      <c r="H309" s="320">
        <f>N('Предохранители'!I50)</f>
        <v>0</v>
      </c>
      <c r="I309" s="320">
        <f>IF(N(E309)&gt;0,N(E309),H309)</f>
        <v>0</v>
      </c>
      <c r="J309" s="320">
        <f>I309*IF(N('Предохранители'!E50)&gt;0,N('Предохранители'!E50),N('Предохранители'!G50))</f>
        <v>0</v>
      </c>
      <c r="K309" s="320">
        <f>I309*IF(N('Предохранители'!F50)&gt;0,N('Предохранители'!F50),N('Предохранители'!G50))</f>
        <v>0</v>
      </c>
      <c r="L309" s="320">
        <f>N(L308)+(N(I309)&gt;0)</f>
        <v>0</v>
      </c>
    </row>
    <row r="310">
      <c r="A310" s="321" t="inlineStr">
        <is>
          <t xml:space="preserve">Предохранители</t>
        </is>
      </c>
      <c r="B310" s="314" t="str">
        <f>'Предохранители'!A51&amp;""</f>
        <v>DPRC 30 BLACK</v>
      </c>
      <c r="C310" s="315" t="str">
        <f>'Предохранители'!B51&amp;""</f>
        <v>для 30А, с крышкой;  VINYL, размер-standart, черн., сечение провода 5,3 мм²</v>
      </c>
      <c r="D310" s="316" t="str">
        <f>IF('Предохранители'!H51="+","есть",IF('Предохранители'!H51="-","нет",""))</f>
        <v>есть</v>
      </c>
      <c r="E310" s="317"/>
      <c r="F310" s="318">
        <f>IF(N('Предохранители'!G51)&lt;=0,"по запросу",CHOOSE($K$3,IF(N('Предохранители'!E51)&gt;0,N('Предохранители'!E51),N('Предохранители'!G51)),IF(N('Предохранители'!F51)&gt;0,N('Предохранители'!F51),N('Предохранители'!G51)),N('Предохранители'!G51)))</f>
        <v>4099.8</v>
      </c>
      <c r="G310" s="319" t="str">
        <f>IF(I310&lt;=0,"",IF(ISNUMBER(F310),I310*F310,"по запросу"))</f>
        <v/>
      </c>
      <c r="H310" s="320">
        <f>N('Предохранители'!I51)</f>
        <v>0</v>
      </c>
      <c r="I310" s="320">
        <f>IF(N(E310)&gt;0,N(E310),H310)</f>
        <v>0</v>
      </c>
      <c r="J310" s="320">
        <f>I310*IF(N('Предохранители'!E51)&gt;0,N('Предохранители'!E51),N('Предохранители'!G51))</f>
        <v>0</v>
      </c>
      <c r="K310" s="320">
        <f>I310*IF(N('Предохранители'!F51)&gt;0,N('Предохранители'!F51),N('Предохранители'!G51))</f>
        <v>0</v>
      </c>
      <c r="L310" s="320">
        <f>N(L309)+(N(I310)&gt;0)</f>
        <v>0</v>
      </c>
    </row>
    <row r="311" ht="28" customHeight="1">
      <c r="A311" s="310" t="inlineStr">
        <is>
          <t xml:space="preserve">Тюбинг</t>
        </is>
      </c>
      <c r="B311" s="310"/>
      <c r="C311" s="310"/>
      <c r="D311" s="310"/>
      <c r="E311" s="310"/>
      <c r="F311" s="310"/>
      <c r="G311" s="310"/>
      <c r="L311" s="320">
        <f>N(L310)+(N(I311)&gt;0)</f>
        <v>0</v>
      </c>
    </row>
    <row r="312" ht="24" customHeight="1">
      <c r="A312" s="321" t="inlineStr">
        <is>
          <t xml:space="preserve">Тюбинг</t>
        </is>
      </c>
      <c r="B312" s="311" t="inlineStr">
        <is>
          <t xml:space="preserve">ТЮБИНГ ДЛЯ УКЛАДКИ ПРОВОДОВ</t>
        </is>
      </c>
      <c r="L312" s="320">
        <f>N(L311)+(N(I312)&gt;0)</f>
        <v>0</v>
      </c>
    </row>
    <row r="313" ht="20" customHeight="1">
      <c r="A313" s="321" t="inlineStr">
        <is>
          <t xml:space="preserve">Тюбинг</t>
        </is>
      </c>
      <c r="B313" s="312" t="inlineStr">
        <is>
          <t xml:space="preserve">Кембрик</t>
        </is>
      </c>
      <c r="L313" s="320">
        <f>N(L312)+(N(I313)&gt;0)</f>
        <v>0</v>
      </c>
    </row>
    <row r="314">
      <c r="A314" s="321" t="inlineStr">
        <is>
          <t xml:space="preserve">Тюбинг</t>
        </is>
      </c>
      <c r="B314" s="314" t="str">
        <f>'Тюбинг'!A9&amp;""</f>
        <v>KM-5</v>
      </c>
      <c r="C314" s="315" t="str">
        <f>'Тюбинг'!B9&amp;""</f>
        <v>Кембрик пвх, диам.5 мм, черн., длина 200 м</v>
      </c>
      <c r="D314" s="316" t="str">
        <f>IF('Тюбинг'!H9="+","есть",IF('Тюбинг'!H9="-","нет",""))</f>
        <v>есть</v>
      </c>
      <c r="E314" s="317"/>
      <c r="F314" s="318">
        <f>IF(N('Тюбинг'!G9)&lt;=0,"по запросу",CHOOSE($K$3,IF(N('Тюбинг'!E9)&gt;0,N('Тюбинг'!E9),N('Тюбинг'!G9)),IF(N('Тюбинг'!F9)&gt;0,N('Тюбинг'!F9),N('Тюбинг'!G9)),N('Тюбинг'!G9)))</f>
        <v>3866.2</v>
      </c>
      <c r="G314" s="319" t="str">
        <f>IF(I314&lt;=0,"",IF(ISNUMBER(F314),I314*F314,"по запросу"))</f>
        <v/>
      </c>
      <c r="H314" s="320">
        <f>N('Тюбинг'!I9)</f>
        <v>0</v>
      </c>
      <c r="I314" s="320">
        <f>IF(N(E314)&gt;0,N(E314),H314)</f>
        <v>0</v>
      </c>
      <c r="J314" s="320">
        <f>I314*IF(N('Тюбинг'!E9)&gt;0,N('Тюбинг'!E9),N('Тюбинг'!G9))</f>
        <v>0</v>
      </c>
      <c r="K314" s="320">
        <f>I314*IF(N('Тюбинг'!F9)&gt;0,N('Тюбинг'!F9),N('Тюбинг'!G9))</f>
        <v>0</v>
      </c>
      <c r="L314" s="320">
        <f>N(L313)+(N(I314)&gt;0)</f>
        <v>0</v>
      </c>
    </row>
    <row r="315">
      <c r="A315" s="321" t="inlineStr">
        <is>
          <t xml:space="preserve">Тюбинг</t>
        </is>
      </c>
      <c r="B315" s="314" t="str">
        <f>'Тюбинг'!A10&amp;""</f>
        <v>KM-6</v>
      </c>
      <c r="C315" s="315" t="str">
        <f>'Тюбинг'!B10&amp;""</f>
        <v>Кембрик пвх, диам.6 мм, черн., длина 200 м</v>
      </c>
      <c r="D315" s="316" t="str">
        <f>IF('Тюбинг'!H10="+","есть",IF('Тюбинг'!H10="-","нет",""))</f>
        <v>нет</v>
      </c>
      <c r="E315" s="317"/>
      <c r="F315" s="318">
        <f>IF(N('Тюбинг'!G10)&lt;=0,"по запросу",CHOOSE($K$3,IF(N('Тюбинг'!E10)&gt;0,N('Тюбинг'!E10),N('Тюбинг'!G10)),IF(N('Тюбинг'!F10)&gt;0,N('Тюбинг'!F10),N('Тюбинг'!G10)),N('Тюбинг'!G10)))</f>
        <v>4627.3</v>
      </c>
      <c r="G315" s="319" t="str">
        <f>IF(I315&lt;=0,"",IF(ISNUMBER(F315),I315*F315,"по запросу"))</f>
        <v/>
      </c>
      <c r="H315" s="320">
        <f>N('Тюбинг'!I10)</f>
        <v>0</v>
      </c>
      <c r="I315" s="320">
        <f>IF(N(E315)&gt;0,N(E315),H315)</f>
        <v>0</v>
      </c>
      <c r="J315" s="320">
        <f>I315*IF(N('Тюбинг'!E10)&gt;0,N('Тюбинг'!E10),N('Тюбинг'!G10))</f>
        <v>0</v>
      </c>
      <c r="K315" s="320">
        <f>I315*IF(N('Тюбинг'!F10)&gt;0,N('Тюбинг'!F10),N('Тюбинг'!G10))</f>
        <v>0</v>
      </c>
      <c r="L315" s="320">
        <f>N(L314)+(N(I315)&gt;0)</f>
        <v>0</v>
      </c>
    </row>
    <row r="316">
      <c r="A316" s="321" t="inlineStr">
        <is>
          <t xml:space="preserve">Тюбинг</t>
        </is>
      </c>
      <c r="B316" s="314" t="str">
        <f>'Тюбинг'!A11&amp;""</f>
        <v>KM-10</v>
      </c>
      <c r="C316" s="315" t="str">
        <f>'Тюбинг'!B11&amp;""</f>
        <v>Кембрик пвх, диам.10 мм, черн., длина 100 м</v>
      </c>
      <c r="D316" s="316" t="str">
        <f>IF('Тюбинг'!H11="+","есть",IF('Тюбинг'!H11="-","нет",""))</f>
        <v>нет</v>
      </c>
      <c r="E316" s="317"/>
      <c r="F316" s="318">
        <f>IF(N('Тюбинг'!G11)&lt;=0,"по запросу",CHOOSE($K$3,IF(N('Тюбинг'!E11)&gt;0,N('Тюбинг'!E11),N('Тюбинг'!G11)),IF(N('Тюбинг'!F11)&gt;0,N('Тюбинг'!F11),N('Тюбинг'!G11)),N('Тюбинг'!G11)))</f>
        <v>3854.2</v>
      </c>
      <c r="G316" s="319" t="str">
        <f>IF(I316&lt;=0,"",IF(ISNUMBER(F316),I316*F316,"по запросу"))</f>
        <v/>
      </c>
      <c r="H316" s="320">
        <f>N('Тюбинг'!I11)</f>
        <v>0</v>
      </c>
      <c r="I316" s="320">
        <f>IF(N(E316)&gt;0,N(E316),H316)</f>
        <v>0</v>
      </c>
      <c r="J316" s="320">
        <f>I316*IF(N('Тюбинг'!E11)&gt;0,N('Тюбинг'!E11),N('Тюбинг'!G11))</f>
        <v>0</v>
      </c>
      <c r="K316" s="320">
        <f>I316*IF(N('Тюбинг'!F11)&gt;0,N('Тюбинг'!F11),N('Тюбинг'!G11))</f>
        <v>0</v>
      </c>
      <c r="L316" s="320">
        <f>N(L315)+(N(I316)&gt;0)</f>
        <v>0</v>
      </c>
    </row>
    <row r="317" ht="20" customHeight="1">
      <c r="A317" s="321" t="inlineStr">
        <is>
          <t xml:space="preserve">Тюбинг</t>
        </is>
      </c>
      <c r="B317" s="312" t="inlineStr">
        <is>
          <t xml:space="preserve">Защитная оплетка "змеиная кожа"</t>
        </is>
      </c>
      <c r="L317" s="320">
        <f>N(L316)+(N(I317)&gt;0)</f>
        <v>0</v>
      </c>
    </row>
    <row r="318">
      <c r="A318" s="321" t="inlineStr">
        <is>
          <t xml:space="preserve">Тюбинг</t>
        </is>
      </c>
      <c r="B318" s="314" t="str">
        <f>'Тюбинг'!A13&amp;""</f>
        <v>SS-5 (10м) черн.</v>
      </c>
      <c r="C318" s="315" t="str">
        <f>'Тюбинг'!B13&amp;""</f>
        <v>номинальный размер: 6 мм, длина 10 м, диаметр 3-9 мм</v>
      </c>
      <c r="D318" s="316" t="str">
        <f>IF('Тюбинг'!H13="+","есть",IF('Тюбинг'!H13="-","нет",""))</f>
        <v>нет</v>
      </c>
      <c r="E318" s="317"/>
      <c r="F318" s="318">
        <f>IF(N('Тюбинг'!G13)&lt;=0,"по запросу",CHOOSE($K$3,IF(N('Тюбинг'!E13)&gt;0,N('Тюбинг'!E13),N('Тюбинг'!G13)),IF(N('Тюбинг'!F13)&gt;0,N('Тюбинг'!F13),N('Тюбинг'!G13)),N('Тюбинг'!G13)))</f>
        <v>804.7</v>
      </c>
      <c r="G318" s="319" t="str">
        <f>IF(I318&lt;=0,"",IF(ISNUMBER(F318),I318*F318,"по запросу"))</f>
        <v/>
      </c>
      <c r="H318" s="320">
        <f>N('Тюбинг'!I13)</f>
        <v>0</v>
      </c>
      <c r="I318" s="320">
        <f>IF(N(E318)&gt;0,N(E318),H318)</f>
        <v>0</v>
      </c>
      <c r="J318" s="320">
        <f>I318*IF(N('Тюбинг'!E13)&gt;0,N('Тюбинг'!E13),N('Тюбинг'!G13))</f>
        <v>0</v>
      </c>
      <c r="K318" s="320">
        <f>I318*IF(N('Тюбинг'!F13)&gt;0,N('Тюбинг'!F13),N('Тюбинг'!G13))</f>
        <v>0</v>
      </c>
      <c r="L318" s="320">
        <f>N(L317)+(N(I318)&gt;0)</f>
        <v>0</v>
      </c>
    </row>
    <row r="319">
      <c r="A319" s="321" t="inlineStr">
        <is>
          <t xml:space="preserve">Тюбинг</t>
        </is>
      </c>
      <c r="B319" s="314" t="str">
        <f>'Тюбинг'!A14&amp;""</f>
        <v>SS-5 (10м) син.</v>
      </c>
      <c r="C319" s="315" t="str">
        <f>'Тюбинг'!B14&amp;""</f>
        <v>номинальный размер: 6 мм, длина 10 м, диаметр 3-9 мм</v>
      </c>
      <c r="D319" s="316" t="str">
        <f>IF('Тюбинг'!H14="+","есть",IF('Тюбинг'!H14="-","нет",""))</f>
        <v>есть</v>
      </c>
      <c r="E319" s="317"/>
      <c r="F319" s="318">
        <f>IF(N('Тюбинг'!G14)&lt;=0,"по запросу",CHOOSE($K$3,IF(N('Тюбинг'!E14)&gt;0,N('Тюбинг'!E14),N('Тюбинг'!G14)),IF(N('Тюбинг'!F14)&gt;0,N('Тюбинг'!F14),N('Тюбинг'!G14)),N('Тюбинг'!G14)))</f>
        <v>842.2</v>
      </c>
      <c r="G319" s="319" t="str">
        <f>IF(I319&lt;=0,"",IF(ISNUMBER(F319),I319*F319,"по запросу"))</f>
        <v/>
      </c>
      <c r="H319" s="320">
        <f>N('Тюбинг'!I14)</f>
        <v>0</v>
      </c>
      <c r="I319" s="320">
        <f>IF(N(E319)&gt;0,N(E319),H319)</f>
        <v>0</v>
      </c>
      <c r="J319" s="320">
        <f>I319*IF(N('Тюбинг'!E14)&gt;0,N('Тюбинг'!E14),N('Тюбинг'!G14))</f>
        <v>0</v>
      </c>
      <c r="K319" s="320">
        <f>I319*IF(N('Тюбинг'!F14)&gt;0,N('Тюбинг'!F14),N('Тюбинг'!G14))</f>
        <v>0</v>
      </c>
      <c r="L319" s="320">
        <f>N(L318)+(N(I319)&gt;0)</f>
        <v>0</v>
      </c>
    </row>
    <row r="320">
      <c r="A320" s="321" t="inlineStr">
        <is>
          <t xml:space="preserve">Тюбинг</t>
        </is>
      </c>
      <c r="B320" s="314" t="str">
        <f>'Тюбинг'!A15&amp;""</f>
        <v>SS-5 (15м) черн.</v>
      </c>
      <c r="C320" s="315" t="str">
        <f>'Тюбинг'!B15&amp;""</f>
        <v>номинальный размер: 6 мм, длина 15 м, диаметр 3-9 мм</v>
      </c>
      <c r="D320" s="316" t="str">
        <f>IF('Тюбинг'!H15="+","есть",IF('Тюбинг'!H15="-","нет",""))</f>
        <v>есть</v>
      </c>
      <c r="E320" s="317"/>
      <c r="F320" s="318">
        <f>IF(N('Тюбинг'!G15)&lt;=0,"по запросу",CHOOSE($K$3,IF(N('Тюбинг'!E15)&gt;0,N('Тюбинг'!E15),N('Тюбинг'!G15)),IF(N('Тюбинг'!F15)&gt;0,N('Тюбинг'!F15),N('Тюбинг'!G15)),N('Тюбинг'!G15)))</f>
        <v>979.5</v>
      </c>
      <c r="G320" s="319" t="str">
        <f>IF(I320&lt;=0,"",IF(ISNUMBER(F320),I320*F320,"по запросу"))</f>
        <v/>
      </c>
      <c r="H320" s="320">
        <f>N('Тюбинг'!I15)</f>
        <v>0</v>
      </c>
      <c r="I320" s="320">
        <f>IF(N(E320)&gt;0,N(E320),H320)</f>
        <v>0</v>
      </c>
      <c r="J320" s="320">
        <f>I320*IF(N('Тюбинг'!E15)&gt;0,N('Тюбинг'!E15),N('Тюбинг'!G15))</f>
        <v>0</v>
      </c>
      <c r="K320" s="320">
        <f>I320*IF(N('Тюбинг'!F15)&gt;0,N('Тюбинг'!F15),N('Тюбинг'!G15))</f>
        <v>0</v>
      </c>
      <c r="L320" s="320">
        <f>N(L319)+(N(I320)&gt;0)</f>
        <v>0</v>
      </c>
    </row>
    <row r="321">
      <c r="A321" s="321" t="inlineStr">
        <is>
          <t xml:space="preserve">Тюбинг</t>
        </is>
      </c>
      <c r="B321" s="314" t="str">
        <f>'Тюбинг'!A16&amp;""</f>
        <v>SS-5 (15м) красн.</v>
      </c>
      <c r="C321" s="315" t="str">
        <f>'Тюбинг'!B16&amp;""</f>
        <v>номинальный размер: 6 мм, длина 15 м, диаметр 3-9 мм</v>
      </c>
      <c r="D321" s="316" t="str">
        <f>IF('Тюбинг'!H16="+","есть",IF('Тюбинг'!H16="-","нет",""))</f>
        <v>есть</v>
      </c>
      <c r="E321" s="317"/>
      <c r="F321" s="318">
        <f>IF(N('Тюбинг'!G16)&lt;=0,"по запросу",CHOOSE($K$3,IF(N('Тюбинг'!E16)&gt;0,N('Тюбинг'!E16),N('Тюбинг'!G16)),IF(N('Тюбинг'!F16)&gt;0,N('Тюбинг'!F16),N('Тюбинг'!G16)),N('Тюбинг'!G16)))</f>
        <v>1035.8</v>
      </c>
      <c r="G321" s="319" t="str">
        <f>IF(I321&lt;=0,"",IF(ISNUMBER(F321),I321*F321,"по запросу"))</f>
        <v/>
      </c>
      <c r="H321" s="320">
        <f>N('Тюбинг'!I16)</f>
        <v>0</v>
      </c>
      <c r="I321" s="320">
        <f>IF(N(E321)&gt;0,N(E321),H321)</f>
        <v>0</v>
      </c>
      <c r="J321" s="320">
        <f>I321*IF(N('Тюбинг'!E16)&gt;0,N('Тюбинг'!E16),N('Тюбинг'!G16))</f>
        <v>0</v>
      </c>
      <c r="K321" s="320">
        <f>I321*IF(N('Тюбинг'!F16)&gt;0,N('Тюбинг'!F16),N('Тюбинг'!G16))</f>
        <v>0</v>
      </c>
      <c r="L321" s="320">
        <f>N(L320)+(N(I321)&gt;0)</f>
        <v>0</v>
      </c>
    </row>
    <row r="322">
      <c r="A322" s="321" t="inlineStr">
        <is>
          <t xml:space="preserve">Тюбинг</t>
        </is>
      </c>
      <c r="B322" s="314" t="str">
        <f>'Тюбинг'!A17&amp;""</f>
        <v>SS-5 (15м) син.</v>
      </c>
      <c r="C322" s="315" t="str">
        <f>'Тюбинг'!B17&amp;""</f>
        <v>номинальный размер: 6 мм, длина 15 м, диаметр 3-9 мм</v>
      </c>
      <c r="D322" s="316" t="str">
        <f>IF('Тюбинг'!H17="+","есть",IF('Тюбинг'!H17="-","нет",""))</f>
        <v>есть</v>
      </c>
      <c r="E322" s="317"/>
      <c r="F322" s="318">
        <f>IF(N('Тюбинг'!G17)&lt;=0,"по запросу",CHOOSE($K$3,IF(N('Тюбинг'!E17)&gt;0,N('Тюбинг'!E17),N('Тюбинг'!G17)),IF(N('Тюбинг'!F17)&gt;0,N('Тюбинг'!F17),N('Тюбинг'!G17)),N('Тюбинг'!G17)))</f>
        <v>1035.8</v>
      </c>
      <c r="G322" s="319" t="str">
        <f>IF(I322&lt;=0,"",IF(ISNUMBER(F322),I322*F322,"по запросу"))</f>
        <v/>
      </c>
      <c r="H322" s="320">
        <f>N('Тюбинг'!I17)</f>
        <v>0</v>
      </c>
      <c r="I322" s="320">
        <f>IF(N(E322)&gt;0,N(E322),H322)</f>
        <v>0</v>
      </c>
      <c r="J322" s="320">
        <f>I322*IF(N('Тюбинг'!E17)&gt;0,N('Тюбинг'!E17),N('Тюбинг'!G17))</f>
        <v>0</v>
      </c>
      <c r="K322" s="320">
        <f>I322*IF(N('Тюбинг'!F17)&gt;0,N('Тюбинг'!F17),N('Тюбинг'!G17))</f>
        <v>0</v>
      </c>
      <c r="L322" s="320">
        <f>N(L321)+(N(I322)&gt;0)</f>
        <v>0</v>
      </c>
    </row>
    <row r="323">
      <c r="A323" s="321" t="inlineStr">
        <is>
          <t xml:space="preserve">Тюбинг</t>
        </is>
      </c>
      <c r="B323" s="314" t="str">
        <f>'Тюбинг'!A18&amp;""</f>
        <v>SS-5 (15м) зел</v>
      </c>
      <c r="C323" s="315" t="str">
        <f>'Тюбинг'!B18&amp;""</f>
        <v>номинальный размер: 6 мм, длина 15 м, диаметр 3-9 мм</v>
      </c>
      <c r="D323" s="316" t="str">
        <f>IF('Тюбинг'!H18="+","есть",IF('Тюбинг'!H18="-","нет",""))</f>
        <v>есть</v>
      </c>
      <c r="E323" s="317"/>
      <c r="F323" s="318">
        <f>IF(N('Тюбинг'!G18)&lt;=0,"по запросу",CHOOSE($K$3,IF(N('Тюбинг'!E18)&gt;0,N('Тюбинг'!E18),N('Тюбинг'!G18)),IF(N('Тюбинг'!F18)&gt;0,N('Тюбинг'!F18),N('Тюбинг'!G18)),N('Тюбинг'!G18)))</f>
        <v>1035.8</v>
      </c>
      <c r="G323" s="319" t="str">
        <f>IF(I323&lt;=0,"",IF(ISNUMBER(F323),I323*F323,"по запросу"))</f>
        <v/>
      </c>
      <c r="H323" s="320">
        <f>N('Тюбинг'!I18)</f>
        <v>0</v>
      </c>
      <c r="I323" s="320">
        <f>IF(N(E323)&gt;0,N(E323),H323)</f>
        <v>0</v>
      </c>
      <c r="J323" s="320">
        <f>I323*IF(N('Тюбинг'!E18)&gt;0,N('Тюбинг'!E18),N('Тюбинг'!G18))</f>
        <v>0</v>
      </c>
      <c r="K323" s="320">
        <f>I323*IF(N('Тюбинг'!F18)&gt;0,N('Тюбинг'!F18),N('Тюбинг'!G18))</f>
        <v>0</v>
      </c>
      <c r="L323" s="320">
        <f>N(L322)+(N(I323)&gt;0)</f>
        <v>0</v>
      </c>
    </row>
    <row r="324">
      <c r="A324" s="321" t="inlineStr">
        <is>
          <t xml:space="preserve">Тюбинг</t>
        </is>
      </c>
      <c r="B324" s="314" t="str">
        <f>'Тюбинг'!A19&amp;""</f>
        <v>SS-5 (100м) черн.</v>
      </c>
      <c r="C324" s="315" t="str">
        <f>'Тюбинг'!B19&amp;""</f>
        <v>номинальный размер: 6 мм, длина 100 м, диаметр 3-9 мм</v>
      </c>
      <c r="D324" s="316" t="str">
        <f>IF('Тюбинг'!H19="+","есть",IF('Тюбинг'!H19="-","нет",""))</f>
        <v>есть</v>
      </c>
      <c r="E324" s="317"/>
      <c r="F324" s="318">
        <f>IF(N('Тюбинг'!G19)&lt;=0,"по запросу",CHOOSE($K$3,IF(N('Тюбинг'!E19)&gt;0,N('Тюбинг'!E19),N('Тюбинг'!G19)),IF(N('Тюбинг'!F19)&gt;0,N('Тюбинг'!F19),N('Тюбинг'!G19)),N('Тюбинг'!G19)))</f>
        <v>3549.9</v>
      </c>
      <c r="G324" s="319" t="str">
        <f>IF(I324&lt;=0,"",IF(ISNUMBER(F324),I324*F324,"по запросу"))</f>
        <v/>
      </c>
      <c r="H324" s="320">
        <f>N('Тюбинг'!I19)</f>
        <v>0</v>
      </c>
      <c r="I324" s="320">
        <f>IF(N(E324)&gt;0,N(E324),H324)</f>
        <v>0</v>
      </c>
      <c r="J324" s="320">
        <f>I324*IF(N('Тюбинг'!E19)&gt;0,N('Тюбинг'!E19),N('Тюбинг'!G19))</f>
        <v>0</v>
      </c>
      <c r="K324" s="320">
        <f>I324*IF(N('Тюбинг'!F19)&gt;0,N('Тюбинг'!F19),N('Тюбинг'!G19))</f>
        <v>0</v>
      </c>
      <c r="L324" s="320">
        <f>N(L323)+(N(I324)&gt;0)</f>
        <v>0</v>
      </c>
    </row>
    <row r="325">
      <c r="A325" s="321" t="inlineStr">
        <is>
          <t xml:space="preserve">Тюбинг</t>
        </is>
      </c>
      <c r="B325" s="314" t="str">
        <f>'Тюбинг'!A20&amp;""</f>
        <v>SS-10 (10м) черн.</v>
      </c>
      <c r="C325" s="315" t="str">
        <f>'Тюбинг'!B20&amp;""</f>
        <v>номинальный размер: 10 мм, длина 10 м, диаметр 7-19 мм</v>
      </c>
      <c r="D325" s="316" t="str">
        <f>IF('Тюбинг'!H20="+","есть",IF('Тюбинг'!H20="-","нет",""))</f>
        <v>есть</v>
      </c>
      <c r="E325" s="317"/>
      <c r="F325" s="318">
        <f>IF(N('Тюбинг'!G20)&lt;=0,"по запросу",CHOOSE($K$3,IF(N('Тюбинг'!E20)&gt;0,N('Тюбинг'!E20),N('Тюбинг'!G20)),IF(N('Тюбинг'!F20)&gt;0,N('Тюбинг'!F20),N('Тюбинг'!G20)),N('Тюбинг'!G20)))</f>
        <v>933.8</v>
      </c>
      <c r="G325" s="319" t="str">
        <f>IF(I325&lt;=0,"",IF(ISNUMBER(F325),I325*F325,"по запросу"))</f>
        <v/>
      </c>
      <c r="H325" s="320">
        <f>N('Тюбинг'!I20)</f>
        <v>0</v>
      </c>
      <c r="I325" s="320">
        <f>IF(N(E325)&gt;0,N(E325),H325)</f>
        <v>0</v>
      </c>
      <c r="J325" s="320">
        <f>I325*IF(N('Тюбинг'!E20)&gt;0,N('Тюбинг'!E20),N('Тюбинг'!G20))</f>
        <v>0</v>
      </c>
      <c r="K325" s="320">
        <f>I325*IF(N('Тюбинг'!F20)&gt;0,N('Тюбинг'!F20),N('Тюбинг'!G20))</f>
        <v>0</v>
      </c>
      <c r="L325" s="320">
        <f>N(L324)+(N(I325)&gt;0)</f>
        <v>0</v>
      </c>
    </row>
    <row r="326">
      <c r="A326" s="321" t="inlineStr">
        <is>
          <t xml:space="preserve">Тюбинг</t>
        </is>
      </c>
      <c r="B326" s="314" t="str">
        <f>'Тюбинг'!A21&amp;""</f>
        <v>SS-10 (100м) черн.</v>
      </c>
      <c r="C326" s="315" t="str">
        <f>'Тюбинг'!B21&amp;""</f>
        <v>номинальный размер: 10 мм, длина 100 м, диаметр 7-19 мм</v>
      </c>
      <c r="D326" s="316" t="str">
        <f>IF('Тюбинг'!H21="+","есть",IF('Тюбинг'!H21="-","нет",""))</f>
        <v>есть</v>
      </c>
      <c r="E326" s="317"/>
      <c r="F326" s="318">
        <f>IF(N('Тюбинг'!G21)&lt;=0,"по запросу",CHOOSE($K$3,IF(N('Тюбинг'!E21)&gt;0,N('Тюбинг'!E21),N('Тюбинг'!G21)),IF(N('Тюбинг'!F21)&gt;0,N('Тюбинг'!F21),N('Тюбинг'!G21)),N('Тюбинг'!G21)))</f>
        <v>4836.5</v>
      </c>
      <c r="G326" s="319" t="str">
        <f>IF(I326&lt;=0,"",IF(ISNUMBER(F326),I326*F326,"по запросу"))</f>
        <v/>
      </c>
      <c r="H326" s="320">
        <f>N('Тюбинг'!I21)</f>
        <v>0</v>
      </c>
      <c r="I326" s="320">
        <f>IF(N(E326)&gt;0,N(E326),H326)</f>
        <v>0</v>
      </c>
      <c r="J326" s="320">
        <f>I326*IF(N('Тюбинг'!E21)&gt;0,N('Тюбинг'!E21),N('Тюбинг'!G21))</f>
        <v>0</v>
      </c>
      <c r="K326" s="320">
        <f>I326*IF(N('Тюбинг'!F21)&gt;0,N('Тюбинг'!F21),N('Тюбинг'!G21))</f>
        <v>0</v>
      </c>
      <c r="L326" s="320">
        <f>N(L325)+(N(I326)&gt;0)</f>
        <v>0</v>
      </c>
    </row>
    <row r="327">
      <c r="A327" s="321" t="inlineStr">
        <is>
          <t xml:space="preserve">Тюбинг</t>
        </is>
      </c>
      <c r="B327" s="314" t="str">
        <f>'Тюбинг'!A22&amp;""</f>
        <v>SS-10 (10м) графит</v>
      </c>
      <c r="C327" s="315" t="str">
        <f>'Тюбинг'!B22&amp;""</f>
        <v>номинальный размер: 10 мм, длина 10 м, диаметр 7-19 мм</v>
      </c>
      <c r="D327" s="316" t="str">
        <f>IF('Тюбинг'!H22="+","есть",IF('Тюбинг'!H22="-","нет",""))</f>
        <v>есть</v>
      </c>
      <c r="E327" s="317"/>
      <c r="F327" s="318">
        <f>IF(N('Тюбинг'!G22)&lt;=0,"по запросу",CHOOSE($K$3,IF(N('Тюбинг'!E22)&gt;0,N('Тюбинг'!E22),N('Тюбинг'!G22)),IF(N('Тюбинг'!F22)&gt;0,N('Тюбинг'!F22),N('Тюбинг'!G22)),N('Тюбинг'!G22)))</f>
        <v>998.4</v>
      </c>
      <c r="G327" s="319" t="str">
        <f>IF(I327&lt;=0,"",IF(ISNUMBER(F327),I327*F327,"по запросу"))</f>
        <v/>
      </c>
      <c r="H327" s="320">
        <f>N('Тюбинг'!I22)</f>
        <v>0</v>
      </c>
      <c r="I327" s="320">
        <f>IF(N(E327)&gt;0,N(E327),H327)</f>
        <v>0</v>
      </c>
      <c r="J327" s="320">
        <f>I327*IF(N('Тюбинг'!E22)&gt;0,N('Тюбинг'!E22),N('Тюбинг'!G22))</f>
        <v>0</v>
      </c>
      <c r="K327" s="320">
        <f>I327*IF(N('Тюбинг'!F22)&gt;0,N('Тюбинг'!F22),N('Тюбинг'!G22))</f>
        <v>0</v>
      </c>
      <c r="L327" s="320">
        <f>N(L326)+(N(I327)&gt;0)</f>
        <v>0</v>
      </c>
    </row>
    <row r="328">
      <c r="A328" s="321" t="inlineStr">
        <is>
          <t xml:space="preserve">Тюбинг</t>
        </is>
      </c>
      <c r="B328" s="314" t="str">
        <f>'Тюбинг'!A23&amp;""</f>
        <v>SS-10 (100м) графит</v>
      </c>
      <c r="C328" s="315" t="str">
        <f>'Тюбинг'!B23&amp;""</f>
        <v>номинальный размер: 10 мм, длина 100 м, диаметр 7-19 мм</v>
      </c>
      <c r="D328" s="316" t="str">
        <f>IF('Тюбинг'!H23="+","есть",IF('Тюбинг'!H23="-","нет",""))</f>
        <v>есть</v>
      </c>
      <c r="E328" s="317"/>
      <c r="F328" s="318">
        <f>IF(N('Тюбинг'!G23)&lt;=0,"по запросу",CHOOSE($K$3,IF(N('Тюбинг'!E23)&gt;0,N('Тюбинг'!E23),N('Тюбинг'!G23)),IF(N('Тюбинг'!F23)&gt;0,N('Тюбинг'!F23),N('Тюбинг'!G23)),N('Тюбинг'!G23)))</f>
        <v>5480.9</v>
      </c>
      <c r="G328" s="319" t="str">
        <f>IF(I328&lt;=0,"",IF(ISNUMBER(F328),I328*F328,"по запросу"))</f>
        <v/>
      </c>
      <c r="H328" s="320">
        <f>N('Тюбинг'!I23)</f>
        <v>0</v>
      </c>
      <c r="I328" s="320">
        <f>IF(N(E328)&gt;0,N(E328),H328)</f>
        <v>0</v>
      </c>
      <c r="J328" s="320">
        <f>I328*IF(N('Тюбинг'!E23)&gt;0,N('Тюбинг'!E23),N('Тюбинг'!G23))</f>
        <v>0</v>
      </c>
      <c r="K328" s="320">
        <f>I328*IF(N('Тюбинг'!F23)&gt;0,N('Тюбинг'!F23),N('Тюбинг'!G23))</f>
        <v>0</v>
      </c>
      <c r="L328" s="320">
        <f>N(L327)+(N(I328)&gt;0)</f>
        <v>0</v>
      </c>
    </row>
    <row r="329">
      <c r="A329" s="321" t="inlineStr">
        <is>
          <t xml:space="preserve">Тюбинг</t>
        </is>
      </c>
      <c r="B329" s="314" t="str">
        <f>'Тюбинг'!A24&amp;""</f>
        <v>SS-10 (10м) красн.</v>
      </c>
      <c r="C329" s="315" t="str">
        <f>'Тюбинг'!B24&amp;""</f>
        <v>номинальный размер: 10 мм, длина 10 м, диаметр 7-19 мм</v>
      </c>
      <c r="D329" s="316" t="str">
        <f>IF('Тюбинг'!H24="+","есть",IF('Тюбинг'!H24="-","нет",""))</f>
        <v>есть</v>
      </c>
      <c r="E329" s="317"/>
      <c r="F329" s="318">
        <f>IF(N('Тюбинг'!G24)&lt;=0,"по запросу",CHOOSE($K$3,IF(N('Тюбинг'!E24)&gt;0,N('Тюбинг'!E24),N('Тюбинг'!G24)),IF(N('Тюбинг'!F24)&gt;0,N('Тюбинг'!F24),N('Тюбинг'!G24)),N('Тюбинг'!G24)))</f>
        <v>998.4</v>
      </c>
      <c r="G329" s="319" t="str">
        <f>IF(I329&lt;=0,"",IF(ISNUMBER(F329),I329*F329,"по запросу"))</f>
        <v/>
      </c>
      <c r="H329" s="320">
        <f>N('Тюбинг'!I24)</f>
        <v>0</v>
      </c>
      <c r="I329" s="320">
        <f>IF(N(E329)&gt;0,N(E329),H329)</f>
        <v>0</v>
      </c>
      <c r="J329" s="320">
        <f>I329*IF(N('Тюбинг'!E24)&gt;0,N('Тюбинг'!E24),N('Тюбинг'!G24))</f>
        <v>0</v>
      </c>
      <c r="K329" s="320">
        <f>I329*IF(N('Тюбинг'!F24)&gt;0,N('Тюбинг'!F24),N('Тюбинг'!G24))</f>
        <v>0</v>
      </c>
      <c r="L329" s="320">
        <f>N(L328)+(N(I329)&gt;0)</f>
        <v>0</v>
      </c>
    </row>
    <row r="330">
      <c r="A330" s="321" t="inlineStr">
        <is>
          <t xml:space="preserve">Тюбинг</t>
        </is>
      </c>
      <c r="B330" s="314" t="str">
        <f>'Тюбинг'!A25&amp;""</f>
        <v>SS-10 (100м) красн.</v>
      </c>
      <c r="C330" s="315" t="str">
        <f>'Тюбинг'!B25&amp;""</f>
        <v>номинальный размер: 10 мм, длина 100 м, диаметр 7-19 мм</v>
      </c>
      <c r="D330" s="316" t="str">
        <f>IF('Тюбинг'!H25="+","есть",IF('Тюбинг'!H25="-","нет",""))</f>
        <v>есть</v>
      </c>
      <c r="E330" s="317"/>
      <c r="F330" s="318">
        <f>IF(N('Тюбинг'!G25)&lt;=0,"по запросу",CHOOSE($K$3,IF(N('Тюбинг'!E25)&gt;0,N('Тюбинг'!E25),N('Тюбинг'!G25)),IF(N('Тюбинг'!F25)&gt;0,N('Тюбинг'!F25),N('Тюбинг'!G25)),N('Тюбинг'!G25)))</f>
        <v>5480.9</v>
      </c>
      <c r="G330" s="319" t="str">
        <f>IF(I330&lt;=0,"",IF(ISNUMBER(F330),I330*F330,"по запросу"))</f>
        <v/>
      </c>
      <c r="H330" s="320">
        <f>N('Тюбинг'!I25)</f>
        <v>0</v>
      </c>
      <c r="I330" s="320">
        <f>IF(N(E330)&gt;0,N(E330),H330)</f>
        <v>0</v>
      </c>
      <c r="J330" s="320">
        <f>I330*IF(N('Тюбинг'!E25)&gt;0,N('Тюбинг'!E25),N('Тюбинг'!G25))</f>
        <v>0</v>
      </c>
      <c r="K330" s="320">
        <f>I330*IF(N('Тюбинг'!F25)&gt;0,N('Тюбинг'!F25),N('Тюбинг'!G25))</f>
        <v>0</v>
      </c>
      <c r="L330" s="320">
        <f>N(L329)+(N(I330)&gt;0)</f>
        <v>0</v>
      </c>
    </row>
    <row r="331">
      <c r="A331" s="321" t="inlineStr">
        <is>
          <t xml:space="preserve">Тюбинг</t>
        </is>
      </c>
      <c r="B331" s="314" t="str">
        <f>'Тюбинг'!A26&amp;""</f>
        <v>SS-10 (10м) зел.</v>
      </c>
      <c r="C331" s="315" t="str">
        <f>'Тюбинг'!B26&amp;""</f>
        <v>номинальный размер: 10 мм, длина 10 м, диаметр 7-19 мм</v>
      </c>
      <c r="D331" s="316" t="str">
        <f>IF('Тюбинг'!H26="+","есть",IF('Тюбинг'!H26="-","нет",""))</f>
        <v>есть</v>
      </c>
      <c r="E331" s="317"/>
      <c r="F331" s="318">
        <f>IF(N('Тюбинг'!G26)&lt;=0,"по запросу",CHOOSE($K$3,IF(N('Тюбинг'!E26)&gt;0,N('Тюбинг'!E26),N('Тюбинг'!G26)),IF(N('Тюбинг'!F26)&gt;0,N('Тюбинг'!F26),N('Тюбинг'!G26)),N('Тюбинг'!G26)))</f>
        <v>998.4</v>
      </c>
      <c r="G331" s="319" t="str">
        <f>IF(I331&lt;=0,"",IF(ISNUMBER(F331),I331*F331,"по запросу"))</f>
        <v/>
      </c>
      <c r="H331" s="320">
        <f>N('Тюбинг'!I26)</f>
        <v>0</v>
      </c>
      <c r="I331" s="320">
        <f>IF(N(E331)&gt;0,N(E331),H331)</f>
        <v>0</v>
      </c>
      <c r="J331" s="320">
        <f>I331*IF(N('Тюбинг'!E26)&gt;0,N('Тюбинг'!E26),N('Тюбинг'!G26))</f>
        <v>0</v>
      </c>
      <c r="K331" s="320">
        <f>I331*IF(N('Тюбинг'!F26)&gt;0,N('Тюбинг'!F26),N('Тюбинг'!G26))</f>
        <v>0</v>
      </c>
      <c r="L331" s="320">
        <f>N(L330)+(N(I331)&gt;0)</f>
        <v>0</v>
      </c>
    </row>
    <row r="332">
      <c r="A332" s="321" t="inlineStr">
        <is>
          <t xml:space="preserve">Тюбинг</t>
        </is>
      </c>
      <c r="B332" s="314" t="str">
        <f>'Тюбинг'!A27&amp;""</f>
        <v>SS-10 (100м) фуксия</v>
      </c>
      <c r="C332" s="315" t="str">
        <f>'Тюбинг'!B27&amp;""</f>
        <v>номинальный размер: 10 мм, длина 100 м, диаметр 7-19 мм</v>
      </c>
      <c r="D332" s="316" t="str">
        <f>IF('Тюбинг'!H27="+","есть",IF('Тюбинг'!H27="-","нет",""))</f>
        <v>нет</v>
      </c>
      <c r="E332" s="317"/>
      <c r="F332" s="318">
        <f>IF(N('Тюбинг'!G27)&lt;=0,"по запросу",CHOOSE($K$3,IF(N('Тюбинг'!E27)&gt;0,N('Тюбинг'!E27),N('Тюбинг'!G27)),IF(N('Тюбинг'!F27)&gt;0,N('Тюбинг'!F27),N('Тюбинг'!G27)),N('Тюбинг'!G27)))</f>
        <v>5480.9</v>
      </c>
      <c r="G332" s="319" t="str">
        <f>IF(I332&lt;=0,"",IF(ISNUMBER(F332),I332*F332,"по запросу"))</f>
        <v/>
      </c>
      <c r="H332" s="320">
        <f>N('Тюбинг'!I27)</f>
        <v>0</v>
      </c>
      <c r="I332" s="320">
        <f>IF(N(E332)&gt;0,N(E332),H332)</f>
        <v>0</v>
      </c>
      <c r="J332" s="320">
        <f>I332*IF(N('Тюбинг'!E27)&gt;0,N('Тюбинг'!E27),N('Тюбинг'!G27))</f>
        <v>0</v>
      </c>
      <c r="K332" s="320">
        <f>I332*IF(N('Тюбинг'!F27)&gt;0,N('Тюбинг'!F27),N('Тюбинг'!G27))</f>
        <v>0</v>
      </c>
      <c r="L332" s="320">
        <f>N(L331)+(N(I332)&gt;0)</f>
        <v>0</v>
      </c>
    </row>
    <row r="333">
      <c r="A333" s="321" t="inlineStr">
        <is>
          <t xml:space="preserve">Тюбинг</t>
        </is>
      </c>
      <c r="B333" s="314" t="str">
        <f>'Тюбинг'!A28&amp;""</f>
        <v>SS-10 (10м) фуксия</v>
      </c>
      <c r="C333" s="315" t="str">
        <f>'Тюбинг'!B28&amp;""</f>
        <v>номинальный размер: 10 мм, длина 10 м, диаметр 7-19 мм</v>
      </c>
      <c r="D333" s="316" t="str">
        <f>IF('Тюбинг'!H28="+","есть",IF('Тюбинг'!H28="-","нет",""))</f>
        <v>есть</v>
      </c>
      <c r="E333" s="317"/>
      <c r="F333" s="318">
        <f>IF(N('Тюбинг'!G28)&lt;=0,"по запросу",CHOOSE($K$3,IF(N('Тюбинг'!E28)&gt;0,N('Тюбинг'!E28),N('Тюбинг'!G28)),IF(N('Тюбинг'!F28)&gt;0,N('Тюбинг'!F28),N('Тюбинг'!G28)),N('Тюбинг'!G28)))</f>
        <v>998.4</v>
      </c>
      <c r="G333" s="319" t="str">
        <f>IF(I333&lt;=0,"",IF(ISNUMBER(F333),I333*F333,"по запросу"))</f>
        <v/>
      </c>
      <c r="H333" s="320">
        <f>N('Тюбинг'!I28)</f>
        <v>0</v>
      </c>
      <c r="I333" s="320">
        <f>IF(N(E333)&gt;0,N(E333),H333)</f>
        <v>0</v>
      </c>
      <c r="J333" s="320">
        <f>I333*IF(N('Тюбинг'!E28)&gt;0,N('Тюбинг'!E28),N('Тюбинг'!G28))</f>
        <v>0</v>
      </c>
      <c r="K333" s="320">
        <f>I333*IF(N('Тюбинг'!F28)&gt;0,N('Тюбинг'!F28),N('Тюбинг'!G28))</f>
        <v>0</v>
      </c>
      <c r="L333" s="320">
        <f>N(L332)+(N(I333)&gt;0)</f>
        <v>0</v>
      </c>
    </row>
    <row r="334">
      <c r="A334" s="321" t="inlineStr">
        <is>
          <t xml:space="preserve">Тюбинг</t>
        </is>
      </c>
      <c r="B334" s="314" t="str">
        <f>'Тюбинг'!A29&amp;""</f>
        <v>SS-10 (10м) желт.</v>
      </c>
      <c r="C334" s="315" t="str">
        <f>'Тюбинг'!B29&amp;""</f>
        <v>номинальный размер: 10 мм, длина 10 м, диаметр 7-19 мм</v>
      </c>
      <c r="D334" s="316" t="str">
        <f>IF('Тюбинг'!H29="+","есть",IF('Тюбинг'!H29="-","нет",""))</f>
        <v>есть</v>
      </c>
      <c r="E334" s="317"/>
      <c r="F334" s="318">
        <f>IF(N('Тюбинг'!G29)&lt;=0,"по запросу",CHOOSE($K$3,IF(N('Тюбинг'!E29)&gt;0,N('Тюбинг'!E29),N('Тюбинг'!G29)),IF(N('Тюбинг'!F29)&gt;0,N('Тюбинг'!F29),N('Тюбинг'!G29)),N('Тюбинг'!G29)))</f>
        <v>998.4</v>
      </c>
      <c r="G334" s="319" t="str">
        <f>IF(I334&lt;=0,"",IF(ISNUMBER(F334),I334*F334,"по запросу"))</f>
        <v/>
      </c>
      <c r="H334" s="320">
        <f>N('Тюбинг'!I29)</f>
        <v>0</v>
      </c>
      <c r="I334" s="320">
        <f>IF(N(E334)&gt;0,N(E334),H334)</f>
        <v>0</v>
      </c>
      <c r="J334" s="320">
        <f>I334*IF(N('Тюбинг'!E29)&gt;0,N('Тюбинг'!E29),N('Тюбинг'!G29))</f>
        <v>0</v>
      </c>
      <c r="K334" s="320">
        <f>I334*IF(N('Тюбинг'!F29)&gt;0,N('Тюбинг'!F29),N('Тюбинг'!G29))</f>
        <v>0</v>
      </c>
      <c r="L334" s="320">
        <f>N(L333)+(N(I334)&gt;0)</f>
        <v>0</v>
      </c>
    </row>
    <row r="335">
      <c r="A335" s="321" t="inlineStr">
        <is>
          <t xml:space="preserve">Тюбинг</t>
        </is>
      </c>
      <c r="B335" s="314" t="str">
        <f>'Тюбинг'!A30&amp;""</f>
        <v>SS-10 (10м) оранж.</v>
      </c>
      <c r="C335" s="315" t="str">
        <f>'Тюбинг'!B30&amp;""</f>
        <v>номинальный размер: 10 мм, длина 10 м, диаметр 7-19 мм</v>
      </c>
      <c r="D335" s="316" t="str">
        <f>IF('Тюбинг'!H30="+","есть",IF('Тюбинг'!H30="-","нет",""))</f>
        <v>есть</v>
      </c>
      <c r="E335" s="317"/>
      <c r="F335" s="318">
        <f>IF(N('Тюбинг'!G30)&lt;=0,"по запросу",CHOOSE($K$3,IF(N('Тюбинг'!E30)&gt;0,N('Тюбинг'!E30),N('Тюбинг'!G30)),IF(N('Тюбинг'!F30)&gt;0,N('Тюбинг'!F30),N('Тюбинг'!G30)),N('Тюбинг'!G30)))</f>
        <v>998.4</v>
      </c>
      <c r="G335" s="319" t="str">
        <f>IF(I335&lt;=0,"",IF(ISNUMBER(F335),I335*F335,"по запросу"))</f>
        <v/>
      </c>
      <c r="H335" s="320">
        <f>N('Тюбинг'!I30)</f>
        <v>0</v>
      </c>
      <c r="I335" s="320">
        <f>IF(N(E335)&gt;0,N(E335),H335)</f>
        <v>0</v>
      </c>
      <c r="J335" s="320">
        <f>I335*IF(N('Тюбинг'!E30)&gt;0,N('Тюбинг'!E30),N('Тюбинг'!G30))</f>
        <v>0</v>
      </c>
      <c r="K335" s="320">
        <f>I335*IF(N('Тюбинг'!F30)&gt;0,N('Тюбинг'!F30),N('Тюбинг'!G30))</f>
        <v>0</v>
      </c>
      <c r="L335" s="320">
        <f>N(L334)+(N(I335)&gt;0)</f>
        <v>0</v>
      </c>
    </row>
    <row r="336">
      <c r="A336" s="321" t="inlineStr">
        <is>
          <t xml:space="preserve">Тюбинг</t>
        </is>
      </c>
      <c r="B336" s="314" t="str">
        <f>'Тюбинг'!A31&amp;""</f>
        <v>SS-10 (10м) син.</v>
      </c>
      <c r="C336" s="315" t="str">
        <f>'Тюбинг'!B31&amp;""</f>
        <v>номинальный размер: 10 мм, длина 10 м, диаметр 7-19 мм</v>
      </c>
      <c r="D336" s="316" t="str">
        <f>IF('Тюбинг'!H31="+","есть",IF('Тюбинг'!H31="-","нет",""))</f>
        <v>есть</v>
      </c>
      <c r="E336" s="317"/>
      <c r="F336" s="318">
        <f>IF(N('Тюбинг'!G31)&lt;=0,"по запросу",CHOOSE($K$3,IF(N('Тюбинг'!E31)&gt;0,N('Тюбинг'!E31),N('Тюбинг'!G31)),IF(N('Тюбинг'!F31)&gt;0,N('Тюбинг'!F31),N('Тюбинг'!G31)),N('Тюбинг'!G31)))</f>
        <v>998.4</v>
      </c>
      <c r="G336" s="319" t="str">
        <f>IF(I336&lt;=0,"",IF(ISNUMBER(F336),I336*F336,"по запросу"))</f>
        <v/>
      </c>
      <c r="H336" s="320">
        <f>N('Тюбинг'!I31)</f>
        <v>0</v>
      </c>
      <c r="I336" s="320">
        <f>IF(N(E336)&gt;0,N(E336),H336)</f>
        <v>0</v>
      </c>
      <c r="J336" s="320">
        <f>I336*IF(N('Тюбинг'!E31)&gt;0,N('Тюбинг'!E31),N('Тюбинг'!G31))</f>
        <v>0</v>
      </c>
      <c r="K336" s="320">
        <f>I336*IF(N('Тюбинг'!F31)&gt;0,N('Тюбинг'!F31),N('Тюбинг'!G31))</f>
        <v>0</v>
      </c>
      <c r="L336" s="320">
        <f>N(L335)+(N(I336)&gt;0)</f>
        <v>0</v>
      </c>
    </row>
    <row r="337">
      <c r="A337" s="321" t="inlineStr">
        <is>
          <t xml:space="preserve">Тюбинг</t>
        </is>
      </c>
      <c r="B337" s="314" t="str">
        <f>'Тюбинг'!A32&amp;""</f>
        <v>SS-15 (10м) черн.</v>
      </c>
      <c r="C337" s="315" t="str">
        <f>'Тюбинг'!B32&amp;""</f>
        <v>номинальный размер: 15 мм, длина 10 м, диаметр 10-27 мм</v>
      </c>
      <c r="D337" s="316" t="str">
        <f>IF('Тюбинг'!H32="+","есть",IF('Тюбинг'!H32="-","нет",""))</f>
        <v>есть</v>
      </c>
      <c r="E337" s="317"/>
      <c r="F337" s="318">
        <f>IF(N('Тюбинг'!G32)&lt;=0,"по запросу",CHOOSE($K$3,IF(N('Тюбинг'!E32)&gt;0,N('Тюбинг'!E32),N('Тюбинг'!G32)),IF(N('Тюбинг'!F32)&gt;0,N('Тюбинг'!F32),N('Тюбинг'!G32)),N('Тюбинг'!G32)))</f>
        <v>1142</v>
      </c>
      <c r="G337" s="319" t="str">
        <f>IF(I337&lt;=0,"",IF(ISNUMBER(F337),I337*F337,"по запросу"))</f>
        <v/>
      </c>
      <c r="H337" s="320">
        <f>N('Тюбинг'!I32)</f>
        <v>0</v>
      </c>
      <c r="I337" s="320">
        <f>IF(N(E337)&gt;0,N(E337),H337)</f>
        <v>0</v>
      </c>
      <c r="J337" s="320">
        <f>I337*IF(N('Тюбинг'!E32)&gt;0,N('Тюбинг'!E32),N('Тюбинг'!G32))</f>
        <v>0</v>
      </c>
      <c r="K337" s="320">
        <f>I337*IF(N('Тюбинг'!F32)&gt;0,N('Тюбинг'!F32),N('Тюбинг'!G32))</f>
        <v>0</v>
      </c>
      <c r="L337" s="320">
        <f>N(L336)+(N(I337)&gt;0)</f>
        <v>0</v>
      </c>
    </row>
    <row r="338">
      <c r="A338" s="321" t="inlineStr">
        <is>
          <t xml:space="preserve">Тюбинг</t>
        </is>
      </c>
      <c r="B338" s="314" t="str">
        <f>'Тюбинг'!A33&amp;""</f>
        <v>SS-15 (100м) черн.</v>
      </c>
      <c r="C338" s="315" t="str">
        <f>'Тюбинг'!B33&amp;""</f>
        <v>номинальный размер: 15 мм, длина 100 м, диаметр 10-27 мм</v>
      </c>
      <c r="D338" s="316" t="str">
        <f>IF('Тюбинг'!H33="+","есть",IF('Тюбинг'!H33="-","нет",""))</f>
        <v>есть</v>
      </c>
      <c r="E338" s="317"/>
      <c r="F338" s="318">
        <f>IF(N('Тюбинг'!G33)&lt;=0,"по запросу",CHOOSE($K$3,IF(N('Тюбинг'!E33)&gt;0,N('Тюбинг'!E33),N('Тюбинг'!G33)),IF(N('Тюбинг'!F33)&gt;0,N('Тюбинг'!F33),N('Тюбинг'!G33)),N('Тюбинг'!G33)))</f>
        <v>6929</v>
      </c>
      <c r="G338" s="319" t="str">
        <f>IF(I338&lt;=0,"",IF(ISNUMBER(F338),I338*F338,"по запросу"))</f>
        <v/>
      </c>
      <c r="H338" s="320">
        <f>N('Тюбинг'!I33)</f>
        <v>0</v>
      </c>
      <c r="I338" s="320">
        <f>IF(N(E338)&gt;0,N(E338),H338)</f>
        <v>0</v>
      </c>
      <c r="J338" s="320">
        <f>I338*IF(N('Тюбинг'!E33)&gt;0,N('Тюбинг'!E33),N('Тюбинг'!G33))</f>
        <v>0</v>
      </c>
      <c r="K338" s="320">
        <f>I338*IF(N('Тюбинг'!F33)&gt;0,N('Тюбинг'!F33),N('Тюбинг'!G33))</f>
        <v>0</v>
      </c>
      <c r="L338" s="320">
        <f>N(L337)+(N(I338)&gt;0)</f>
        <v>0</v>
      </c>
    </row>
    <row r="339">
      <c r="A339" s="321" t="inlineStr">
        <is>
          <t xml:space="preserve">Тюбинг</t>
        </is>
      </c>
      <c r="B339" s="314" t="str">
        <f>'Тюбинг'!A34&amp;""</f>
        <v>SS-15 (10м) графит</v>
      </c>
      <c r="C339" s="315" t="str">
        <f>'Тюбинг'!B34&amp;""</f>
        <v>номинальный размер: 15 мм, длина 10 м, диаметр 10-27 мм</v>
      </c>
      <c r="D339" s="316" t="str">
        <f>IF('Тюбинг'!H34="+","есть",IF('Тюбинг'!H34="-","нет",""))</f>
        <v>есть</v>
      </c>
      <c r="E339" s="317"/>
      <c r="F339" s="318">
        <f>IF(N('Тюбинг'!G34)&lt;=0,"по запросу",CHOOSE($K$3,IF(N('Тюбинг'!E34)&gt;0,N('Тюбинг'!E34),N('Тюбинг'!G34)),IF(N('Тюбинг'!F34)&gt;0,N('Тюбинг'!F34),N('Тюбинг'!G34)),N('Тюбинг'!G34)))</f>
        <v>1233.6</v>
      </c>
      <c r="G339" s="319" t="str">
        <f>IF(I339&lt;=0,"",IF(ISNUMBER(F339),I339*F339,"по запросу"))</f>
        <v/>
      </c>
      <c r="H339" s="320">
        <f>N('Тюбинг'!I34)</f>
        <v>0</v>
      </c>
      <c r="I339" s="320">
        <f>IF(N(E339)&gt;0,N(E339),H339)</f>
        <v>0</v>
      </c>
      <c r="J339" s="320">
        <f>I339*IF(N('Тюбинг'!E34)&gt;0,N('Тюбинг'!E34),N('Тюбинг'!G34))</f>
        <v>0</v>
      </c>
      <c r="K339" s="320">
        <f>I339*IF(N('Тюбинг'!F34)&gt;0,N('Тюбинг'!F34),N('Тюбинг'!G34))</f>
        <v>0</v>
      </c>
      <c r="L339" s="320">
        <f>N(L338)+(N(I339)&gt;0)</f>
        <v>0</v>
      </c>
    </row>
    <row r="340">
      <c r="A340" s="321" t="inlineStr">
        <is>
          <t xml:space="preserve">Тюбинг</t>
        </is>
      </c>
      <c r="B340" s="314" t="str">
        <f>'Тюбинг'!A35&amp;""</f>
        <v>SS-15 (10м) красн.</v>
      </c>
      <c r="C340" s="315" t="str">
        <f>'Тюбинг'!B35&amp;""</f>
        <v>номинальный размер: 15 мм, длина 10 м, диаметр 10-27 мм</v>
      </c>
      <c r="D340" s="316" t="str">
        <f>IF('Тюбинг'!H35="+","есть",IF('Тюбинг'!H35="-","нет",""))</f>
        <v>есть</v>
      </c>
      <c r="E340" s="317"/>
      <c r="F340" s="318">
        <f>IF(N('Тюбинг'!G35)&lt;=0,"по запросу",CHOOSE($K$3,IF(N('Тюбинг'!E35)&gt;0,N('Тюбинг'!E35),N('Тюбинг'!G35)),IF(N('Тюбинг'!F35)&gt;0,N('Тюбинг'!F35),N('Тюбинг'!G35)),N('Тюбинг'!G35)))</f>
        <v>1233.6</v>
      </c>
      <c r="G340" s="319" t="str">
        <f>IF(I340&lt;=0,"",IF(ISNUMBER(F340),I340*F340,"по запросу"))</f>
        <v/>
      </c>
      <c r="H340" s="320">
        <f>N('Тюбинг'!I35)</f>
        <v>0</v>
      </c>
      <c r="I340" s="320">
        <f>IF(N(E340)&gt;0,N(E340),H340)</f>
        <v>0</v>
      </c>
      <c r="J340" s="320">
        <f>I340*IF(N('Тюбинг'!E35)&gt;0,N('Тюбинг'!E35),N('Тюбинг'!G35))</f>
        <v>0</v>
      </c>
      <c r="K340" s="320">
        <f>I340*IF(N('Тюбинг'!F35)&gt;0,N('Тюбинг'!F35),N('Тюбинг'!G35))</f>
        <v>0</v>
      </c>
      <c r="L340" s="320">
        <f>N(L339)+(N(I340)&gt;0)</f>
        <v>0</v>
      </c>
    </row>
    <row r="341">
      <c r="A341" s="321" t="inlineStr">
        <is>
          <t xml:space="preserve">Тюбинг</t>
        </is>
      </c>
      <c r="B341" s="314" t="str">
        <f>'Тюбинг'!A36&amp;""</f>
        <v>SS-15 (10м) син.</v>
      </c>
      <c r="C341" s="315" t="str">
        <f>'Тюбинг'!B36&amp;""</f>
        <v>номинальный размер: 15 мм, длина 10 м, диаметр 10-27 мм</v>
      </c>
      <c r="D341" s="316" t="str">
        <f>IF('Тюбинг'!H36="+","есть",IF('Тюбинг'!H36="-","нет",""))</f>
        <v>есть</v>
      </c>
      <c r="E341" s="317"/>
      <c r="F341" s="318">
        <f>IF(N('Тюбинг'!G36)&lt;=0,"по запросу",CHOOSE($K$3,IF(N('Тюбинг'!E36)&gt;0,N('Тюбинг'!E36),N('Тюбинг'!G36)),IF(N('Тюбинг'!F36)&gt;0,N('Тюбинг'!F36),N('Тюбинг'!G36)),N('Тюбинг'!G36)))</f>
        <v>1233.6</v>
      </c>
      <c r="G341" s="319" t="str">
        <f>IF(I341&lt;=0,"",IF(ISNUMBER(F341),I341*F341,"по запросу"))</f>
        <v/>
      </c>
      <c r="H341" s="320">
        <f>N('Тюбинг'!I36)</f>
        <v>0</v>
      </c>
      <c r="I341" s="320">
        <f>IF(N(E341)&gt;0,N(E341),H341)</f>
        <v>0</v>
      </c>
      <c r="J341" s="320">
        <f>I341*IF(N('Тюбинг'!E36)&gt;0,N('Тюбинг'!E36),N('Тюбинг'!G36))</f>
        <v>0</v>
      </c>
      <c r="K341" s="320">
        <f>I341*IF(N('Тюбинг'!F36)&gt;0,N('Тюбинг'!F36),N('Тюбинг'!G36))</f>
        <v>0</v>
      </c>
      <c r="L341" s="320">
        <f>N(L340)+(N(I341)&gt;0)</f>
        <v>0</v>
      </c>
    </row>
    <row r="342">
      <c r="A342" s="321" t="inlineStr">
        <is>
          <t xml:space="preserve">Тюбинг</t>
        </is>
      </c>
      <c r="B342" s="314" t="str">
        <f>'Тюбинг'!A37&amp;""</f>
        <v>SS-20 (5м) черн.</v>
      </c>
      <c r="C342" s="315" t="str">
        <f>'Тюбинг'!B37&amp;""</f>
        <v>номинальный размер: 20 мм, длина 5 м, диаметр 14-30 мм</v>
      </c>
      <c r="D342" s="316" t="str">
        <f>IF('Тюбинг'!H37="+","есть",IF('Тюбинг'!H37="-","нет",""))</f>
        <v>есть</v>
      </c>
      <c r="E342" s="317"/>
      <c r="F342" s="318">
        <f>IF(N('Тюбинг'!G37)&lt;=0,"по запросу",CHOOSE($K$3,IF(N('Тюбинг'!E37)&gt;0,N('Тюбинг'!E37),N('Тюбинг'!G37)),IF(N('Тюбинг'!F37)&gt;0,N('Тюбинг'!F37),N('Тюбинг'!G37)),N('Тюбинг'!G37)))</f>
        <v>874.4</v>
      </c>
      <c r="G342" s="319" t="str">
        <f>IF(I342&lt;=0,"",IF(ISNUMBER(F342),I342*F342,"по запросу"))</f>
        <v/>
      </c>
      <c r="H342" s="320">
        <f>N('Тюбинг'!I37)</f>
        <v>0</v>
      </c>
      <c r="I342" s="320">
        <f>IF(N(E342)&gt;0,N(E342),H342)</f>
        <v>0</v>
      </c>
      <c r="J342" s="320">
        <f>I342*IF(N('Тюбинг'!E37)&gt;0,N('Тюбинг'!E37),N('Тюбинг'!G37))</f>
        <v>0</v>
      </c>
      <c r="K342" s="320">
        <f>I342*IF(N('Тюбинг'!F37)&gt;0,N('Тюбинг'!F37),N('Тюбинг'!G37))</f>
        <v>0</v>
      </c>
      <c r="L342" s="320">
        <f>N(L341)+(N(I342)&gt;0)</f>
        <v>0</v>
      </c>
    </row>
    <row r="343">
      <c r="A343" s="321" t="inlineStr">
        <is>
          <t xml:space="preserve">Тюбинг</t>
        </is>
      </c>
      <c r="B343" s="314" t="str">
        <f>'Тюбинг'!A38&amp;""</f>
        <v>SS-20 (100м) черн.</v>
      </c>
      <c r="C343" s="315" t="str">
        <f>'Тюбинг'!B38&amp;""</f>
        <v>номинальный размер: 20 мм, длина 100 м, диаметр 14-30 мм</v>
      </c>
      <c r="D343" s="316" t="str">
        <f>IF('Тюбинг'!H38="+","есть",IF('Тюбинг'!H38="-","нет",""))</f>
        <v>есть</v>
      </c>
      <c r="E343" s="317"/>
      <c r="F343" s="318">
        <f>IF(N('Тюбинг'!G38)&lt;=0,"по запросу",CHOOSE($K$3,IF(N('Тюбинг'!E38)&gt;0,N('Тюбинг'!E38),N('Тюбинг'!G38)),IF(N('Тюбинг'!F38)&gt;0,N('Тюбинг'!F38),N('Тюбинг'!G38)),N('Тюбинг'!G38)))</f>
        <v>8429.1</v>
      </c>
      <c r="G343" s="319" t="str">
        <f>IF(I343&lt;=0,"",IF(ISNUMBER(F343),I343*F343,"по запросу"))</f>
        <v/>
      </c>
      <c r="H343" s="320">
        <f>N('Тюбинг'!I38)</f>
        <v>0</v>
      </c>
      <c r="I343" s="320">
        <f>IF(N(E343)&gt;0,N(E343),H343)</f>
        <v>0</v>
      </c>
      <c r="J343" s="320">
        <f>I343*IF(N('Тюбинг'!E38)&gt;0,N('Тюбинг'!E38),N('Тюбинг'!G38))</f>
        <v>0</v>
      </c>
      <c r="K343" s="320">
        <f>I343*IF(N('Тюбинг'!F38)&gt;0,N('Тюбинг'!F38),N('Тюбинг'!G38))</f>
        <v>0</v>
      </c>
      <c r="L343" s="320">
        <f>N(L342)+(N(I343)&gt;0)</f>
        <v>0</v>
      </c>
    </row>
    <row r="344">
      <c r="A344" s="321" t="inlineStr">
        <is>
          <t xml:space="preserve">Тюбинг</t>
        </is>
      </c>
      <c r="B344" s="314" t="str">
        <f>'Тюбинг'!A39&amp;""</f>
        <v>SS-30 (5м) черн.</v>
      </c>
      <c r="C344" s="315" t="str">
        <f>'Тюбинг'!B39&amp;""</f>
        <v>номинальный размер: 30 мм, длина 5 м, диаметр 20-50 мм</v>
      </c>
      <c r="D344" s="316" t="str">
        <f>IF('Тюбинг'!H39="+","есть",IF('Тюбинг'!H39="-","нет",""))</f>
        <v>есть</v>
      </c>
      <c r="E344" s="317"/>
      <c r="F344" s="318">
        <f>IF(N('Тюбинг'!G39)&lt;=0,"по запросу",CHOOSE($K$3,IF(N('Тюбинг'!E39)&gt;0,N('Тюбинг'!E39),N('Тюбинг'!G39)),IF(N('Тюбинг'!F39)&gt;0,N('Тюбинг'!F39),N('Тюбинг'!G39)),N('Тюбинг'!G39)))</f>
        <v>1289.9</v>
      </c>
      <c r="G344" s="319" t="str">
        <f>IF(I344&lt;=0,"",IF(ISNUMBER(F344),I344*F344,"по запросу"))</f>
        <v/>
      </c>
      <c r="H344" s="320">
        <f>N('Тюбинг'!I39)</f>
        <v>0</v>
      </c>
      <c r="I344" s="320">
        <f>IF(N(E344)&gt;0,N(E344),H344)</f>
        <v>0</v>
      </c>
      <c r="J344" s="320">
        <f>I344*IF(N('Тюбинг'!E39)&gt;0,N('Тюбинг'!E39),N('Тюбинг'!G39))</f>
        <v>0</v>
      </c>
      <c r="K344" s="320">
        <f>I344*IF(N('Тюбинг'!F39)&gt;0,N('Тюбинг'!F39),N('Тюбинг'!G39))</f>
        <v>0</v>
      </c>
      <c r="L344" s="320">
        <f>N(L343)+(N(I344)&gt;0)</f>
        <v>0</v>
      </c>
    </row>
    <row r="345">
      <c r="A345" s="321" t="inlineStr">
        <is>
          <t xml:space="preserve">Тюбинг</t>
        </is>
      </c>
      <c r="B345" s="314" t="str">
        <f>'Тюбинг'!A40&amp;""</f>
        <v>SS-30 (100м) черн.</v>
      </c>
      <c r="C345" s="315" t="str">
        <f>'Тюбинг'!B40&amp;""</f>
        <v>номинальный размер: 30 мм, длина 100 м, диаметр 20-50 мм</v>
      </c>
      <c r="D345" s="316" t="str">
        <f>IF('Тюбинг'!H40="+","есть",IF('Тюбинг'!H40="-","нет",""))</f>
        <v>есть</v>
      </c>
      <c r="E345" s="317"/>
      <c r="F345" s="318">
        <f>IF(N('Тюбинг'!G40)&lt;=0,"по запросу",CHOOSE($K$3,IF(N('Тюбинг'!E40)&gt;0,N('Тюбинг'!E40),N('Тюбинг'!G40)),IF(N('Тюбинг'!F40)&gt;0,N('Тюбинг'!F40),N('Тюбинг'!G40)),N('Тюбинг'!G40)))</f>
        <v>17578.6</v>
      </c>
      <c r="G345" s="319" t="str">
        <f>IF(I345&lt;=0,"",IF(ISNUMBER(F345),I345*F345,"по запросу"))</f>
        <v/>
      </c>
      <c r="H345" s="320">
        <f>N('Тюбинг'!I40)</f>
        <v>0</v>
      </c>
      <c r="I345" s="320">
        <f>IF(N(E345)&gt;0,N(E345),H345)</f>
        <v>0</v>
      </c>
      <c r="J345" s="320">
        <f>I345*IF(N('Тюбинг'!E40)&gt;0,N('Тюбинг'!E40),N('Тюбинг'!G40))</f>
        <v>0</v>
      </c>
      <c r="K345" s="320">
        <f>I345*IF(N('Тюбинг'!F40)&gt;0,N('Тюбинг'!F40),N('Тюбинг'!G40))</f>
        <v>0</v>
      </c>
      <c r="L345" s="320">
        <f>N(L344)+(N(I345)&gt;0)</f>
        <v>0</v>
      </c>
    </row>
    <row r="346">
      <c r="A346" s="321" t="inlineStr">
        <is>
          <t xml:space="preserve">Тюбинг</t>
        </is>
      </c>
      <c r="B346" s="314" t="str">
        <f>'Тюбинг'!A41&amp;""</f>
        <v>SS-40 (5м) черн.</v>
      </c>
      <c r="C346" s="315" t="str">
        <f>'Тюбинг'!B41&amp;""</f>
        <v>номинальный размер: 40 мм, длина 5 м, диаметр 30-60 мм</v>
      </c>
      <c r="D346" s="316" t="str">
        <f>IF('Тюбинг'!H41="+","есть",IF('Тюбинг'!H41="-","нет",""))</f>
        <v>есть</v>
      </c>
      <c r="E346" s="317"/>
      <c r="F346" s="318">
        <f>IF(N('Тюбинг'!G41)&lt;=0,"по запросу",CHOOSE($K$3,IF(N('Тюбинг'!E41)&gt;0,N('Тюбинг'!E41),N('Тюбинг'!G41)),IF(N('Тюбинг'!F41)&gt;0,N('Тюбинг'!F41),N('Тюбинг'!G41)),N('Тюбинг'!G41)))</f>
        <v>1480.3</v>
      </c>
      <c r="G346" s="319" t="str">
        <f>IF(I346&lt;=0,"",IF(ISNUMBER(F346),I346*F346,"по запросу"))</f>
        <v/>
      </c>
      <c r="H346" s="320">
        <f>N('Тюбинг'!I41)</f>
        <v>0</v>
      </c>
      <c r="I346" s="320">
        <f>IF(N(E346)&gt;0,N(E346),H346)</f>
        <v>0</v>
      </c>
      <c r="J346" s="320">
        <f>I346*IF(N('Тюбинг'!E41)&gt;0,N('Тюбинг'!E41),N('Тюбинг'!G41))</f>
        <v>0</v>
      </c>
      <c r="K346" s="320">
        <f>I346*IF(N('Тюбинг'!F41)&gt;0,N('Тюбинг'!F41),N('Тюбинг'!G41))</f>
        <v>0</v>
      </c>
      <c r="L346" s="320">
        <f>N(L345)+(N(I346)&gt;0)</f>
        <v>0</v>
      </c>
    </row>
    <row r="347">
      <c r="A347" s="321" t="inlineStr">
        <is>
          <t xml:space="preserve">Тюбинг</t>
        </is>
      </c>
      <c r="B347" s="314" t="str">
        <f>'Тюбинг'!A42&amp;""</f>
        <v>SS-40 (100м) черн.</v>
      </c>
      <c r="C347" s="315" t="str">
        <f>'Тюбинг'!B42&amp;""</f>
        <v>номинальный размер: 40 мм, длина 100 м, диаметр 30-60 мм</v>
      </c>
      <c r="D347" s="316" t="str">
        <f>IF('Тюбинг'!H42="+","есть",IF('Тюбинг'!H42="-","нет",""))</f>
        <v>есть</v>
      </c>
      <c r="E347" s="317"/>
      <c r="F347" s="318">
        <f>IF(N('Тюбинг'!G42)&lt;=0,"по запросу",CHOOSE($K$3,IF(N('Тюбинг'!E42)&gt;0,N('Тюбинг'!E42),N('Тюбинг'!G42)),IF(N('Тюбинг'!F42)&gt;0,N('Тюбинг'!F42),N('Тюбинг'!G42)),N('Тюбинг'!G42)))</f>
        <v>20548.6</v>
      </c>
      <c r="G347" s="319" t="str">
        <f>IF(I347&lt;=0,"",IF(ISNUMBER(F347),I347*F347,"по запросу"))</f>
        <v/>
      </c>
      <c r="H347" s="320">
        <f>N('Тюбинг'!I42)</f>
        <v>0</v>
      </c>
      <c r="I347" s="320">
        <f>IF(N(E347)&gt;0,N(E347),H347)</f>
        <v>0</v>
      </c>
      <c r="J347" s="320">
        <f>I347*IF(N('Тюбинг'!E42)&gt;0,N('Тюбинг'!E42),N('Тюбинг'!G42))</f>
        <v>0</v>
      </c>
      <c r="K347" s="320">
        <f>I347*IF(N('Тюбинг'!F42)&gt;0,N('Тюбинг'!F42),N('Тюбинг'!G42))</f>
        <v>0</v>
      </c>
      <c r="L347" s="320">
        <f>N(L346)+(N(I347)&gt;0)</f>
        <v>0</v>
      </c>
    </row>
    <row r="348">
      <c r="A348" s="321" t="inlineStr">
        <is>
          <t xml:space="preserve">Тюбинг</t>
        </is>
      </c>
      <c r="B348" s="314" t="str">
        <f>'Тюбинг'!A43&amp;""</f>
        <v>SS-80 (100м)</v>
      </c>
      <c r="C348" s="315" t="str">
        <f>'Тюбинг'!B43&amp;""</f>
        <v>номинальный размер: 76 мм, длина 100 м, диаметр 64-120 мм</v>
      </c>
      <c r="D348" s="316" t="str">
        <f>IF('Тюбинг'!H43="+","есть",IF('Тюбинг'!H43="-","нет",""))</f>
        <v>есть</v>
      </c>
      <c r="E348" s="317"/>
      <c r="F348" s="318">
        <f>IF(N('Тюбинг'!G43)&lt;=0,"по запросу",CHOOSE($K$3,IF(N('Тюбинг'!E43)&gt;0,N('Тюбинг'!E43),N('Тюбинг'!G43)),IF(N('Тюбинг'!F43)&gt;0,N('Тюбинг'!F43),N('Тюбинг'!G43)),N('Тюбинг'!G43)))</f>
        <v>76106.4</v>
      </c>
      <c r="G348" s="319" t="str">
        <f>IF(I348&lt;=0,"",IF(ISNUMBER(F348),I348*F348,"по запросу"))</f>
        <v/>
      </c>
      <c r="H348" s="320">
        <f>N('Тюбинг'!I43)</f>
        <v>0</v>
      </c>
      <c r="I348" s="320">
        <f>IF(N(E348)&gt;0,N(E348),H348)</f>
        <v>0</v>
      </c>
      <c r="J348" s="320">
        <f>I348*IF(N('Тюбинг'!E43)&gt;0,N('Тюбинг'!E43),N('Тюбинг'!G43))</f>
        <v>0</v>
      </c>
      <c r="K348" s="320">
        <f>I348*IF(N('Тюбинг'!F43)&gt;0,N('Тюбинг'!F43),N('Тюбинг'!G43))</f>
        <v>0</v>
      </c>
      <c r="L348" s="320">
        <f>N(L347)+(N(I348)&gt;0)</f>
        <v>0</v>
      </c>
    </row>
    <row r="349" ht="20" customHeight="1">
      <c r="A349" s="321" t="inlineStr">
        <is>
          <t xml:space="preserve">Тюбинг</t>
        </is>
      </c>
      <c r="B349" s="312" t="inlineStr">
        <is>
          <t xml:space="preserve">Самоскручивающаяся защитная оплетка тип "змеиная кожа" с разрезом</t>
        </is>
      </c>
      <c r="L349" s="320">
        <f>N(L348)+(N(I349)&gt;0)</f>
        <v>0</v>
      </c>
    </row>
    <row r="350">
      <c r="A350" s="321" t="inlineStr">
        <is>
          <t xml:space="preserve">Тюбинг</t>
        </is>
      </c>
      <c r="B350" s="314" t="str">
        <f>'Тюбинг'!A45&amp;""</f>
        <v>SS-10SC (100м)</v>
      </c>
      <c r="C350" s="315" t="str">
        <f>'Тюбинг'!B45&amp;""</f>
        <v>самоскручивающаяся змеиная кожа с разрезом, вн. диаметр 13мм, перекрытие краев 25%, диапазон рабочих температур: -50°С +150°С</v>
      </c>
      <c r="D350" s="316" t="str">
        <f>IF('Тюбинг'!H45="+","есть",IF('Тюбинг'!H45="-","нет",""))</f>
        <v>есть</v>
      </c>
      <c r="E350" s="317"/>
      <c r="F350" s="318">
        <f>IF(N('Тюбинг'!G45)&lt;=0,"по запросу",CHOOSE($K$3,IF(N('Тюбинг'!E45)&gt;0,N('Тюбинг'!E45),N('Тюбинг'!G45)),IF(N('Тюбинг'!F45)&gt;0,N('Тюбинг'!F45),N('Тюбинг'!G45)),N('Тюбинг'!G45)))</f>
        <v>13885.9</v>
      </c>
      <c r="G350" s="319" t="str">
        <f>IF(I350&lt;=0,"",IF(ISNUMBER(F350),I350*F350,"по запросу"))</f>
        <v/>
      </c>
      <c r="H350" s="320">
        <f>N('Тюбинг'!I45)</f>
        <v>0</v>
      </c>
      <c r="I350" s="320">
        <f>IF(N(E350)&gt;0,N(E350),H350)</f>
        <v>0</v>
      </c>
      <c r="J350" s="320">
        <f>I350*IF(N('Тюбинг'!E45)&gt;0,N('Тюбинг'!E45),N('Тюбинг'!G45))</f>
        <v>0</v>
      </c>
      <c r="K350" s="320">
        <f>I350*IF(N('Тюбинг'!F45)&gt;0,N('Тюбинг'!F45),N('Тюбинг'!G45))</f>
        <v>0</v>
      </c>
      <c r="L350" s="320">
        <f>N(L349)+(N(I350)&gt;0)</f>
        <v>0</v>
      </c>
    </row>
    <row r="351" ht="20" customHeight="1">
      <c r="A351" s="321" t="inlineStr">
        <is>
          <t xml:space="preserve">Тюбинг</t>
        </is>
      </c>
      <c r="B351" s="312" t="inlineStr">
        <is>
          <t xml:space="preserve">Термоусаживаемая оплетка, коэффициент усадки 2:1</t>
        </is>
      </c>
      <c r="L351" s="320">
        <f>N(L350)+(N(I351)&gt;0)</f>
        <v>0</v>
      </c>
    </row>
    <row r="352">
      <c r="A352" s="321" t="inlineStr">
        <is>
          <t xml:space="preserve">Тюбинг</t>
        </is>
      </c>
      <c r="B352" s="314" t="str">
        <f>'Тюбинг'!A47&amp;""</f>
        <v>SSA-10 (5м) черн.</v>
      </c>
      <c r="C352" s="315" t="str">
        <f>'Тюбинг'!B47&amp;""</f>
        <v>диаметр 10 мм, длина 5м</v>
      </c>
      <c r="D352" s="316" t="str">
        <f>IF('Тюбинг'!H47="+","есть",IF('Тюбинг'!H47="-","нет",""))</f>
        <v>есть</v>
      </c>
      <c r="E352" s="317"/>
      <c r="F352" s="318">
        <f>IF(N('Тюбинг'!G47)&lt;=0,"по запросу",CHOOSE($K$3,IF(N('Тюбинг'!E47)&gt;0,N('Тюбинг'!E47),N('Тюбинг'!G47)),IF(N('Тюбинг'!F47)&gt;0,N('Тюбинг'!F47),N('Тюбинг'!G47)),N('Тюбинг'!G47)))</f>
        <v>1664.6</v>
      </c>
      <c r="G352" s="319" t="str">
        <f>IF(I352&lt;=0,"",IF(ISNUMBER(F352),I352*F352,"по запросу"))</f>
        <v/>
      </c>
      <c r="H352" s="320">
        <f>N('Тюбинг'!I47)</f>
        <v>0</v>
      </c>
      <c r="I352" s="320">
        <f>IF(N(E352)&gt;0,N(E352),H352)</f>
        <v>0</v>
      </c>
      <c r="J352" s="320">
        <f>I352*IF(N('Тюбинг'!E47)&gt;0,N('Тюбинг'!E47),N('Тюбинг'!G47))</f>
        <v>0</v>
      </c>
      <c r="K352" s="320">
        <f>I352*IF(N('Тюбинг'!F47)&gt;0,N('Тюбинг'!F47),N('Тюбинг'!G47))</f>
        <v>0</v>
      </c>
      <c r="L352" s="320">
        <f>N(L351)+(N(I352)&gt;0)</f>
        <v>0</v>
      </c>
    </row>
    <row r="353">
      <c r="A353" s="321" t="inlineStr">
        <is>
          <t xml:space="preserve">Тюбинг</t>
        </is>
      </c>
      <c r="B353" s="314" t="str">
        <f>'Тюбинг'!A48&amp;""</f>
        <v>SSA-20 (5м) черн.</v>
      </c>
      <c r="C353" s="315" t="str">
        <f>'Тюбинг'!B48&amp;""</f>
        <v>диаметр 20 мм, длина 5м</v>
      </c>
      <c r="D353" s="316" t="str">
        <f>IF('Тюбинг'!H48="+","есть",IF('Тюбинг'!H48="-","нет",""))</f>
        <v>есть</v>
      </c>
      <c r="E353" s="317"/>
      <c r="F353" s="318">
        <f>IF(N('Тюбинг'!G48)&lt;=0,"по запросу",CHOOSE($K$3,IF(N('Тюбинг'!E48)&gt;0,N('Тюбинг'!E48),N('Тюбинг'!G48)),IF(N('Тюбинг'!F48)&gt;0,N('Тюбинг'!F48),N('Тюбинг'!G48)),N('Тюбинг'!G48)))</f>
        <v>2247.6</v>
      </c>
      <c r="G353" s="319" t="str">
        <f>IF(I353&lt;=0,"",IF(ISNUMBER(F353),I353*F353,"по запросу"))</f>
        <v/>
      </c>
      <c r="H353" s="320">
        <f>N('Тюбинг'!I48)</f>
        <v>0</v>
      </c>
      <c r="I353" s="320">
        <f>IF(N(E353)&gt;0,N(E353),H353)</f>
        <v>0</v>
      </c>
      <c r="J353" s="320">
        <f>I353*IF(N('Тюбинг'!E48)&gt;0,N('Тюбинг'!E48),N('Тюбинг'!G48))</f>
        <v>0</v>
      </c>
      <c r="K353" s="320">
        <f>I353*IF(N('Тюбинг'!F48)&gt;0,N('Тюбинг'!F48),N('Тюбинг'!G48))</f>
        <v>0</v>
      </c>
      <c r="L353" s="320">
        <f>N(L352)+(N(I353)&gt;0)</f>
        <v>0</v>
      </c>
    </row>
    <row r="354">
      <c r="A354" s="321" t="inlineStr">
        <is>
          <t xml:space="preserve">Тюбинг</t>
        </is>
      </c>
      <c r="B354" s="314" t="str">
        <f>'Тюбинг'!A49&amp;""</f>
        <v>SSA-20 (50м) черн.</v>
      </c>
      <c r="C354" s="315" t="str">
        <f>'Тюбинг'!B49&amp;""</f>
        <v>диаметр 20 мм, длина 50м</v>
      </c>
      <c r="D354" s="316" t="str">
        <f>IF('Тюбинг'!H49="+","есть",IF('Тюбинг'!H49="-","нет",""))</f>
        <v>есть</v>
      </c>
      <c r="E354" s="317"/>
      <c r="F354" s="318">
        <f>IF(N('Тюбинг'!G49)&lt;=0,"по запросу",CHOOSE($K$3,IF(N('Тюбинг'!E49)&gt;0,N('Тюбинг'!E49),N('Тюбинг'!G49)),IF(N('Тюбинг'!F49)&gt;0,N('Тюбинг'!F49),N('Тюбинг'!G49)),N('Тюбинг'!G49)))</f>
        <v>20428.9</v>
      </c>
      <c r="G354" s="319" t="str">
        <f>IF(I354&lt;=0,"",IF(ISNUMBER(F354),I354*F354,"по запросу"))</f>
        <v/>
      </c>
      <c r="H354" s="320">
        <f>N('Тюбинг'!I49)</f>
        <v>0</v>
      </c>
      <c r="I354" s="320">
        <f>IF(N(E354)&gt;0,N(E354),H354)</f>
        <v>0</v>
      </c>
      <c r="J354" s="320">
        <f>I354*IF(N('Тюбинг'!E49)&gt;0,N('Тюбинг'!E49),N('Тюбинг'!G49))</f>
        <v>0</v>
      </c>
      <c r="K354" s="320">
        <f>I354*IF(N('Тюбинг'!F49)&gt;0,N('Тюбинг'!F49),N('Тюбинг'!G49))</f>
        <v>0</v>
      </c>
      <c r="L354" s="320">
        <f>N(L353)+(N(I354)&gt;0)</f>
        <v>0</v>
      </c>
    </row>
    <row r="355">
      <c r="A355" s="321" t="inlineStr">
        <is>
          <t xml:space="preserve">Тюбинг</t>
        </is>
      </c>
      <c r="B355" s="314" t="str">
        <f>'Тюбинг'!A50&amp;""</f>
        <v>SSA-40 (2,5м) черн.</v>
      </c>
      <c r="C355" s="315" t="str">
        <f>'Тюбинг'!B50&amp;""</f>
        <v>диаметр 40 мм, длина 2,5м</v>
      </c>
      <c r="D355" s="316" t="str">
        <f>IF('Тюбинг'!H50="+","есть",IF('Тюбинг'!H50="-","нет",""))</f>
        <v>есть</v>
      </c>
      <c r="E355" s="317"/>
      <c r="F355" s="318">
        <f>IF(N('Тюбинг'!G50)&lt;=0,"по запросу",CHOOSE($K$3,IF(N('Тюбинг'!E50)&gt;0,N('Тюбинг'!E50),N('Тюбинг'!G50)),IF(N('Тюбинг'!F50)&gt;0,N('Тюбинг'!F50),N('Тюбинг'!G50)),N('Тюбинг'!G50)))</f>
        <v>1998.8</v>
      </c>
      <c r="G355" s="319" t="str">
        <f>IF(I355&lt;=0,"",IF(ISNUMBER(F355),I355*F355,"по запросу"))</f>
        <v/>
      </c>
      <c r="H355" s="320">
        <f>N('Тюбинг'!I50)</f>
        <v>0</v>
      </c>
      <c r="I355" s="320">
        <f>IF(N(E355)&gt;0,N(E355),H355)</f>
        <v>0</v>
      </c>
      <c r="J355" s="320">
        <f>I355*IF(N('Тюбинг'!E50)&gt;0,N('Тюбинг'!E50),N('Тюбинг'!G50))</f>
        <v>0</v>
      </c>
      <c r="K355" s="320">
        <f>I355*IF(N('Тюбинг'!F50)&gt;0,N('Тюбинг'!F50),N('Тюбинг'!G50))</f>
        <v>0</v>
      </c>
      <c r="L355" s="320">
        <f>N(L354)+(N(I355)&gt;0)</f>
        <v>0</v>
      </c>
    </row>
    <row r="356">
      <c r="A356" s="321" t="inlineStr">
        <is>
          <t xml:space="preserve">Тюбинг</t>
        </is>
      </c>
      <c r="B356" s="314" t="str">
        <f>'Тюбинг'!A51&amp;""</f>
        <v>SSA-40 (50м) черн.</v>
      </c>
      <c r="C356" s="315" t="str">
        <f>'Тюбинг'!B51&amp;""</f>
        <v>диаметр 40 мм, длина 50м</v>
      </c>
      <c r="D356" s="316" t="str">
        <f>IF('Тюбинг'!H51="+","есть",IF('Тюбинг'!H51="-","нет",""))</f>
        <v>есть</v>
      </c>
      <c r="E356" s="317"/>
      <c r="F356" s="318">
        <f>IF(N('Тюбинг'!G51)&lt;=0,"по запросу",CHOOSE($K$3,IF(N('Тюбинг'!E51)&gt;0,N('Тюбинг'!E51),N('Тюбинг'!G51)),IF(N('Тюбинг'!F51)&gt;0,N('Тюбинг'!F51),N('Тюбинг'!G51)),N('Тюбинг'!G51)))</f>
        <v>31593.7</v>
      </c>
      <c r="G356" s="319" t="str">
        <f>IF(I356&lt;=0,"",IF(ISNUMBER(F356),I356*F356,"по запросу"))</f>
        <v/>
      </c>
      <c r="H356" s="320">
        <f>N('Тюбинг'!I51)</f>
        <v>0</v>
      </c>
      <c r="I356" s="320">
        <f>IF(N(E356)&gt;0,N(E356),H356)</f>
        <v>0</v>
      </c>
      <c r="J356" s="320">
        <f>I356*IF(N('Тюбинг'!E51)&gt;0,N('Тюбинг'!E51),N('Тюбинг'!G51))</f>
        <v>0</v>
      </c>
      <c r="K356" s="320">
        <f>I356*IF(N('Тюбинг'!F51)&gt;0,N('Тюбинг'!F51),N('Тюбинг'!G51))</f>
        <v>0</v>
      </c>
      <c r="L356" s="320">
        <f>N(L355)+(N(I356)&gt;0)</f>
        <v>0</v>
      </c>
    </row>
    <row r="357">
      <c r="A357" s="321" t="inlineStr">
        <is>
          <t xml:space="preserve">Тюбинг</t>
        </is>
      </c>
      <c r="B357" s="314" t="str">
        <f>'Тюбинг'!A52&amp;""</f>
        <v>SSA-70 (50м) черн.</v>
      </c>
      <c r="C357" s="315" t="str">
        <f>'Тюбинг'!B52&amp;""</f>
        <v>диаметр 70 мм, длина 50м</v>
      </c>
      <c r="D357" s="316" t="str">
        <f>IF('Тюбинг'!H52="+","есть",IF('Тюбинг'!H52="-","нет",""))</f>
        <v>есть</v>
      </c>
      <c r="E357" s="317"/>
      <c r="F357" s="318">
        <f>IF(N('Тюбинг'!G52)&lt;=0,"по запросу",CHOOSE($K$3,IF(N('Тюбинг'!E52)&gt;0,N('Тюбинг'!E52),N('Тюбинг'!G52)),IF(N('Тюбинг'!F52)&gt;0,N('Тюбинг'!F52),N('Тюбинг'!G52)),N('Тюбинг'!G52)))</f>
        <v>55287.1</v>
      </c>
      <c r="G357" s="319" t="str">
        <f>IF(I357&lt;=0,"",IF(ISNUMBER(F357),I357*F357,"по запросу"))</f>
        <v/>
      </c>
      <c r="H357" s="320">
        <f>N('Тюбинг'!I52)</f>
        <v>0</v>
      </c>
      <c r="I357" s="320">
        <f>IF(N(E357)&gt;0,N(E357),H357)</f>
        <v>0</v>
      </c>
      <c r="J357" s="320">
        <f>I357*IF(N('Тюбинг'!E52)&gt;0,N('Тюбинг'!E52),N('Тюбинг'!G52))</f>
        <v>0</v>
      </c>
      <c r="K357" s="320">
        <f>I357*IF(N('Тюбинг'!F52)&gt;0,N('Тюбинг'!F52),N('Тюбинг'!G52))</f>
        <v>0</v>
      </c>
      <c r="L357" s="320">
        <f>N(L356)+(N(I357)&gt;0)</f>
        <v>0</v>
      </c>
    </row>
    <row r="358">
      <c r="A358" s="321" t="inlineStr">
        <is>
          <t xml:space="preserve">Тюбинг</t>
        </is>
      </c>
      <c r="B358" s="314" t="str">
        <f>'Тюбинг'!A53&amp;""</f>
        <v>SSA-70 черн.на отрез</v>
      </c>
      <c r="C358" s="315" t="str">
        <f>'Тюбинг'!B53&amp;""</f>
        <v>диаметр 70 мм, цена за 1м</v>
      </c>
      <c r="D358" s="316" t="str">
        <f>IF('Тюбинг'!H53="+","есть",IF('Тюбинг'!H53="-","нет",""))</f>
        <v>нет</v>
      </c>
      <c r="E358" s="317"/>
      <c r="F358" s="318">
        <f>IF(N('Тюбинг'!G53)&lt;=0,"по запросу",CHOOSE($K$3,IF(N('Тюбинг'!E53)&gt;0,N('Тюбинг'!E53),N('Тюбинг'!G53)),IF(N('Тюбинг'!F53)&gt;0,N('Тюбинг'!F53),N('Тюбинг'!G53)),N('Тюбинг'!G53)))</f>
        <v>1233.8</v>
      </c>
      <c r="G358" s="319" t="str">
        <f>IF(I358&lt;=0,"",IF(ISNUMBER(F358),I358*F358,"по запросу"))</f>
        <v/>
      </c>
      <c r="H358" s="320">
        <f>N('Тюбинг'!I53)</f>
        <v>0</v>
      </c>
      <c r="I358" s="320">
        <f>IF(N(E358)&gt;0,N(E358),H358)</f>
        <v>0</v>
      </c>
      <c r="J358" s="320">
        <f>I358*IF(N('Тюбинг'!E53)&gt;0,N('Тюбинг'!E53),N('Тюбинг'!G53))</f>
        <v>0</v>
      </c>
      <c r="K358" s="320">
        <f>I358*IF(N('Тюбинг'!F53)&gt;0,N('Тюбинг'!F53),N('Тюбинг'!G53))</f>
        <v>0</v>
      </c>
      <c r="L358" s="320">
        <f>N(L357)+(N(I358)&gt;0)</f>
        <v>0</v>
      </c>
    </row>
    <row r="359" ht="20" customHeight="1">
      <c r="A359" s="321" t="inlineStr">
        <is>
          <t xml:space="preserve">Тюбинг</t>
        </is>
      </c>
      <c r="B359" s="312" t="inlineStr">
        <is>
          <t xml:space="preserve">Гофрированный, длина 10 метров:</t>
        </is>
      </c>
      <c r="L359" s="320">
        <f>N(L358)+(N(I359)&gt;0)</f>
        <v>0</v>
      </c>
    </row>
    <row r="360">
      <c r="A360" s="321" t="inlineStr">
        <is>
          <t xml:space="preserve">Тюбинг</t>
        </is>
      </c>
      <c r="B360" s="314" t="str">
        <f>'Тюбинг'!A55&amp;""</f>
        <v>SLT-4 (10)</v>
      </c>
      <c r="C360" s="315" t="str">
        <f>'Тюбинг'!B55&amp;""</f>
        <v>диаметр 4,6 мм, с разрезом</v>
      </c>
      <c r="D360" s="316" t="str">
        <f>IF('Тюбинг'!H55="+","есть",IF('Тюбинг'!H55="-","нет",""))</f>
        <v>нет</v>
      </c>
      <c r="E360" s="317"/>
      <c r="F360" s="318">
        <f>IF(N('Тюбинг'!G55)&lt;=0,"по запросу",CHOOSE($K$3,IF(N('Тюбинг'!E55)&gt;0,N('Тюбинг'!E55),N('Тюбинг'!G55)),IF(N('Тюбинг'!F55)&gt;0,N('Тюбинг'!F55),N('Тюбинг'!G55)),N('Тюбинг'!G55)))</f>
        <v>295.5</v>
      </c>
      <c r="G360" s="319" t="str">
        <f>IF(I360&lt;=0,"",IF(ISNUMBER(F360),I360*F360,"по запросу"))</f>
        <v/>
      </c>
      <c r="H360" s="320">
        <f>N('Тюбинг'!I55)</f>
        <v>0</v>
      </c>
      <c r="I360" s="320">
        <f>IF(N(E360)&gt;0,N(E360),H360)</f>
        <v>0</v>
      </c>
      <c r="J360" s="320">
        <f>I360*IF(N('Тюбинг'!E55)&gt;0,N('Тюбинг'!E55),N('Тюбинг'!G55))</f>
        <v>0</v>
      </c>
      <c r="K360" s="320">
        <f>I360*IF(N('Тюбинг'!F55)&gt;0,N('Тюбинг'!F55),N('Тюбинг'!G55))</f>
        <v>0</v>
      </c>
      <c r="L360" s="320">
        <f>N(L359)+(N(I360)&gt;0)</f>
        <v>0</v>
      </c>
    </row>
    <row r="361">
      <c r="A361" s="321" t="inlineStr">
        <is>
          <t xml:space="preserve">Тюбинг</t>
        </is>
      </c>
      <c r="B361" s="314" t="str">
        <f>'Тюбинг'!A56&amp;""</f>
        <v>SLT-4 (10) без разреза</v>
      </c>
      <c r="C361" s="315" t="str">
        <f>'Тюбинг'!B56&amp;""</f>
        <v>диаметр 4,6 мм, без разреза</v>
      </c>
      <c r="D361" s="316" t="str">
        <f>IF('Тюбинг'!H56="+","есть",IF('Тюбинг'!H56="-","нет",""))</f>
        <v>нет</v>
      </c>
      <c r="E361" s="317"/>
      <c r="F361" s="318">
        <f>IF(N('Тюбинг'!G56)&lt;=0,"по запросу",CHOOSE($K$3,IF(N('Тюбинг'!E56)&gt;0,N('Тюбинг'!E56),N('Тюбинг'!G56)),IF(N('Тюбинг'!F56)&gt;0,N('Тюбинг'!F56),N('Тюбинг'!G56)),N('Тюбинг'!G56)))</f>
        <v>185.5</v>
      </c>
      <c r="G361" s="319" t="str">
        <f>IF(I361&lt;=0,"",IF(ISNUMBER(F361),I361*F361,"по запросу"))</f>
        <v/>
      </c>
      <c r="H361" s="320">
        <f>N('Тюбинг'!I56)</f>
        <v>0</v>
      </c>
      <c r="I361" s="320">
        <f>IF(N(E361)&gt;0,N(E361),H361)</f>
        <v>0</v>
      </c>
      <c r="J361" s="320">
        <f>I361*IF(N('Тюбинг'!E56)&gt;0,N('Тюбинг'!E56),N('Тюбинг'!G56))</f>
        <v>0</v>
      </c>
      <c r="K361" s="320">
        <f>I361*IF(N('Тюбинг'!F56)&gt;0,N('Тюбинг'!F56),N('Тюбинг'!G56))</f>
        <v>0</v>
      </c>
      <c r="L361" s="320">
        <f>N(L360)+(N(I361)&gt;0)</f>
        <v>0</v>
      </c>
    </row>
    <row r="362">
      <c r="A362" s="321" t="inlineStr">
        <is>
          <t xml:space="preserve">Тюбинг</t>
        </is>
      </c>
      <c r="B362" s="314" t="str">
        <f>'Тюбинг'!A57&amp;""</f>
        <v>SLT-7 (10)</v>
      </c>
      <c r="C362" s="315" t="str">
        <f>'Тюбинг'!B57&amp;""</f>
        <v>диаметр 6,6 мм, с разрезом</v>
      </c>
      <c r="D362" s="316" t="str">
        <f>IF('Тюбинг'!H57="+","есть",IF('Тюбинг'!H57="-","нет",""))</f>
        <v>есть</v>
      </c>
      <c r="E362" s="317"/>
      <c r="F362" s="318">
        <f>IF(N('Тюбинг'!G57)&lt;=0,"по запросу",CHOOSE($K$3,IF(N('Тюбинг'!E57)&gt;0,N('Тюбинг'!E57),N('Тюбинг'!G57)),IF(N('Тюбинг'!F57)&gt;0,N('Тюбинг'!F57),N('Тюбинг'!G57)),N('Тюбинг'!G57)))</f>
        <v>321.8</v>
      </c>
      <c r="G362" s="319" t="str">
        <f>IF(I362&lt;=0,"",IF(ISNUMBER(F362),I362*F362,"по запросу"))</f>
        <v/>
      </c>
      <c r="H362" s="320">
        <f>N('Тюбинг'!I57)</f>
        <v>0</v>
      </c>
      <c r="I362" s="320">
        <f>IF(N(E362)&gt;0,N(E362),H362)</f>
        <v>0</v>
      </c>
      <c r="J362" s="320">
        <f>I362*IF(N('Тюбинг'!E57)&gt;0,N('Тюбинг'!E57),N('Тюбинг'!G57))</f>
        <v>0</v>
      </c>
      <c r="K362" s="320">
        <f>I362*IF(N('Тюбинг'!F57)&gt;0,N('Тюбинг'!F57),N('Тюбинг'!G57))</f>
        <v>0</v>
      </c>
      <c r="L362" s="320">
        <f>N(L361)+(N(I362)&gt;0)</f>
        <v>0</v>
      </c>
    </row>
    <row r="363">
      <c r="A363" s="321" t="inlineStr">
        <is>
          <t xml:space="preserve">Тюбинг</t>
        </is>
      </c>
      <c r="B363" s="314" t="str">
        <f>'Тюбинг'!A58&amp;""</f>
        <v>SLT-7 (10) без разреза</v>
      </c>
      <c r="C363" s="315" t="str">
        <f>'Тюбинг'!B58&amp;""</f>
        <v>диаметр 6,6 мм, без разреза</v>
      </c>
      <c r="D363" s="316" t="str">
        <f>IF('Тюбинг'!H58="+","есть",IF('Тюбинг'!H58="-","нет",""))</f>
        <v>есть</v>
      </c>
      <c r="E363" s="317"/>
      <c r="F363" s="318">
        <f>IF(N('Тюбинг'!G58)&lt;=0,"по запросу",CHOOSE($K$3,IF(N('Тюбинг'!E58)&gt;0,N('Тюбинг'!E58),N('Тюбинг'!G58)),IF(N('Тюбинг'!F58)&gt;0,N('Тюбинг'!F58),N('Тюбинг'!G58)),N('Тюбинг'!G58)))</f>
        <v>321.8</v>
      </c>
      <c r="G363" s="319" t="str">
        <f>IF(I363&lt;=0,"",IF(ISNUMBER(F363),I363*F363,"по запросу"))</f>
        <v/>
      </c>
      <c r="H363" s="320">
        <f>N('Тюбинг'!I58)</f>
        <v>0</v>
      </c>
      <c r="I363" s="320">
        <f>IF(N(E363)&gt;0,N(E363),H363)</f>
        <v>0</v>
      </c>
      <c r="J363" s="320">
        <f>I363*IF(N('Тюбинг'!E58)&gt;0,N('Тюбинг'!E58),N('Тюбинг'!G58))</f>
        <v>0</v>
      </c>
      <c r="K363" s="320">
        <f>I363*IF(N('Тюбинг'!F58)&gt;0,N('Тюбинг'!F58),N('Тюбинг'!G58))</f>
        <v>0</v>
      </c>
      <c r="L363" s="320">
        <f>N(L362)+(N(I363)&gt;0)</f>
        <v>0</v>
      </c>
    </row>
    <row r="364">
      <c r="A364" s="321" t="inlineStr">
        <is>
          <t xml:space="preserve">Тюбинг</t>
        </is>
      </c>
      <c r="B364" s="314" t="str">
        <f>'Тюбинг'!A59&amp;""</f>
        <v>SLT-10 (10)</v>
      </c>
      <c r="C364" s="315" t="str">
        <f>'Тюбинг'!B59&amp;""</f>
        <v>диаметр 9,7 мм, с разрезом</v>
      </c>
      <c r="D364" s="316" t="str">
        <f>IF('Тюбинг'!H59="+","есть",IF('Тюбинг'!H59="-","нет",""))</f>
        <v>нет</v>
      </c>
      <c r="E364" s="317"/>
      <c r="F364" s="318">
        <f>IF(N('Тюбинг'!G59)&lt;=0,"по запросу",CHOOSE($K$3,IF(N('Тюбинг'!E59)&gt;0,N('Тюбинг'!E59),N('Тюбинг'!G59)),IF(N('Тюбинг'!F59)&gt;0,N('Тюбинг'!F59),N('Тюбинг'!G59)),N('Тюбинг'!G59)))</f>
        <v>430.5</v>
      </c>
      <c r="G364" s="319" t="str">
        <f>IF(I364&lt;=0,"",IF(ISNUMBER(F364),I364*F364,"по запросу"))</f>
        <v/>
      </c>
      <c r="H364" s="320">
        <f>N('Тюбинг'!I59)</f>
        <v>0</v>
      </c>
      <c r="I364" s="320">
        <f>IF(N(E364)&gt;0,N(E364),H364)</f>
        <v>0</v>
      </c>
      <c r="J364" s="320">
        <f>I364*IF(N('Тюбинг'!E59)&gt;0,N('Тюбинг'!E59),N('Тюбинг'!G59))</f>
        <v>0</v>
      </c>
      <c r="K364" s="320">
        <f>I364*IF(N('Тюбинг'!F59)&gt;0,N('Тюбинг'!F59),N('Тюбинг'!G59))</f>
        <v>0</v>
      </c>
      <c r="L364" s="320">
        <f>N(L363)+(N(I364)&gt;0)</f>
        <v>0</v>
      </c>
    </row>
    <row r="365">
      <c r="A365" s="321" t="inlineStr">
        <is>
          <t xml:space="preserve">Тюбинг</t>
        </is>
      </c>
      <c r="B365" s="314" t="str">
        <f>'Тюбинг'!A60&amp;""</f>
        <v>SLT-10 (10) без разреза</v>
      </c>
      <c r="C365" s="315" t="str">
        <f>'Тюбинг'!B60&amp;""</f>
        <v>диаметр 9,7 мм, без разреза</v>
      </c>
      <c r="D365" s="316" t="str">
        <f>IF('Тюбинг'!H60="+","есть",IF('Тюбинг'!H60="-","нет",""))</f>
        <v>есть</v>
      </c>
      <c r="E365" s="317"/>
      <c r="F365" s="318">
        <f>IF(N('Тюбинг'!G60)&lt;=0,"по запросу",CHOOSE($K$3,IF(N('Тюбинг'!E60)&gt;0,N('Тюбинг'!E60),N('Тюбинг'!G60)),IF(N('Тюбинг'!F60)&gt;0,N('Тюбинг'!F60),N('Тюбинг'!G60)),N('Тюбинг'!G60)))</f>
        <v>430.5</v>
      </c>
      <c r="G365" s="319" t="str">
        <f>IF(I365&lt;=0,"",IF(ISNUMBER(F365),I365*F365,"по запросу"))</f>
        <v/>
      </c>
      <c r="H365" s="320">
        <f>N('Тюбинг'!I60)</f>
        <v>0</v>
      </c>
      <c r="I365" s="320">
        <f>IF(N(E365)&gt;0,N(E365),H365)</f>
        <v>0</v>
      </c>
      <c r="J365" s="320">
        <f>I365*IF(N('Тюбинг'!E60)&gt;0,N('Тюбинг'!E60),N('Тюбинг'!G60))</f>
        <v>0</v>
      </c>
      <c r="K365" s="320">
        <f>I365*IF(N('Тюбинг'!F60)&gt;0,N('Тюбинг'!F60),N('Тюбинг'!G60))</f>
        <v>0</v>
      </c>
      <c r="L365" s="320">
        <f>N(L364)+(N(I365)&gt;0)</f>
        <v>0</v>
      </c>
    </row>
    <row r="366">
      <c r="A366" s="321" t="inlineStr">
        <is>
          <t xml:space="preserve">Тюбинг</t>
        </is>
      </c>
      <c r="B366" s="314" t="str">
        <f>'Тюбинг'!A61&amp;""</f>
        <v>SLT-13 (10)</v>
      </c>
      <c r="C366" s="315" t="str">
        <f>'Тюбинг'!B61&amp;""</f>
        <v>диаметр 13 мм, с разрезом</v>
      </c>
      <c r="D366" s="316" t="str">
        <f>IF('Тюбинг'!H61="+","есть",IF('Тюбинг'!H61="-","нет",""))</f>
        <v>есть</v>
      </c>
      <c r="E366" s="317"/>
      <c r="F366" s="318">
        <f>IF(N('Тюбинг'!G61)&lt;=0,"по запросу",CHOOSE($K$3,IF(N('Тюбинг'!E61)&gt;0,N('Тюбинг'!E61),N('Тюбинг'!G61)),IF(N('Тюбинг'!F61)&gt;0,N('Тюбинг'!F61),N('Тюбинг'!G61)),N('Тюбинг'!G61)))</f>
        <v>544</v>
      </c>
      <c r="G366" s="319" t="str">
        <f>IF(I366&lt;=0,"",IF(ISNUMBER(F366),I366*F366,"по запросу"))</f>
        <v/>
      </c>
      <c r="H366" s="320">
        <f>N('Тюбинг'!I61)</f>
        <v>0</v>
      </c>
      <c r="I366" s="320">
        <f>IF(N(E366)&gt;0,N(E366),H366)</f>
        <v>0</v>
      </c>
      <c r="J366" s="320">
        <f>I366*IF(N('Тюбинг'!E61)&gt;0,N('Тюбинг'!E61),N('Тюбинг'!G61))</f>
        <v>0</v>
      </c>
      <c r="K366" s="320">
        <f>I366*IF(N('Тюбинг'!F61)&gt;0,N('Тюбинг'!F61),N('Тюбинг'!G61))</f>
        <v>0</v>
      </c>
      <c r="L366" s="320">
        <f>N(L365)+(N(I366)&gt;0)</f>
        <v>0</v>
      </c>
    </row>
    <row r="367">
      <c r="A367" s="321" t="inlineStr">
        <is>
          <t xml:space="preserve">Тюбинг</t>
        </is>
      </c>
      <c r="B367" s="314" t="str">
        <f>'Тюбинг'!A62&amp;""</f>
        <v>SLT-13 (10) без разреза</v>
      </c>
      <c r="C367" s="315" t="str">
        <f>'Тюбинг'!B62&amp;""</f>
        <v>диаметр 13 мм, без разреза</v>
      </c>
      <c r="D367" s="316" t="str">
        <f>IF('Тюбинг'!H62="+","есть",IF('Тюбинг'!H62="-","нет",""))</f>
        <v>есть</v>
      </c>
      <c r="E367" s="317"/>
      <c r="F367" s="318">
        <f>IF(N('Тюбинг'!G62)&lt;=0,"по запросу",CHOOSE($K$3,IF(N('Тюбинг'!E62)&gt;0,N('Тюбинг'!E62),N('Тюбинг'!G62)),IF(N('Тюбинг'!F62)&gt;0,N('Тюбинг'!F62),N('Тюбинг'!G62)),N('Тюбинг'!G62)))</f>
        <v>544</v>
      </c>
      <c r="G367" s="319" t="str">
        <f>IF(I367&lt;=0,"",IF(ISNUMBER(F367),I367*F367,"по запросу"))</f>
        <v/>
      </c>
      <c r="H367" s="320">
        <f>N('Тюбинг'!I62)</f>
        <v>0</v>
      </c>
      <c r="I367" s="320">
        <f>IF(N(E367)&gt;0,N(E367),H367)</f>
        <v>0</v>
      </c>
      <c r="J367" s="320">
        <f>I367*IF(N('Тюбинг'!E62)&gt;0,N('Тюбинг'!E62),N('Тюбинг'!G62))</f>
        <v>0</v>
      </c>
      <c r="K367" s="320">
        <f>I367*IF(N('Тюбинг'!F62)&gt;0,N('Тюбинг'!F62),N('Тюбинг'!G62))</f>
        <v>0</v>
      </c>
      <c r="L367" s="320">
        <f>N(L366)+(N(I367)&gt;0)</f>
        <v>0</v>
      </c>
    </row>
    <row r="368">
      <c r="A368" s="321" t="inlineStr">
        <is>
          <t xml:space="preserve">Тюбинг</t>
        </is>
      </c>
      <c r="B368" s="314" t="str">
        <f>'Тюбинг'!A63&amp;""</f>
        <v>SLT-17 (10)</v>
      </c>
      <c r="C368" s="315" t="str">
        <f>'Тюбинг'!B63&amp;""</f>
        <v>диаметр 15,7 мм, с разрезом</v>
      </c>
      <c r="D368" s="316" t="str">
        <f>IF('Тюбинг'!H63="+","есть",IF('Тюбинг'!H63="-","нет",""))</f>
        <v>есть</v>
      </c>
      <c r="E368" s="317"/>
      <c r="F368" s="318">
        <f>IF(N('Тюбинг'!G63)&lt;=0,"по запросу",CHOOSE($K$3,IF(N('Тюбинг'!E63)&gt;0,N('Тюбинг'!E63),N('Тюбинг'!G63)),IF(N('Тюбинг'!F63)&gt;0,N('Тюбинг'!F63),N('Тюбинг'!G63)),N('Тюбинг'!G63)))</f>
        <v>747.8</v>
      </c>
      <c r="G368" s="319" t="str">
        <f>IF(I368&lt;=0,"",IF(ISNUMBER(F368),I368*F368,"по запросу"))</f>
        <v/>
      </c>
      <c r="H368" s="320">
        <f>N('Тюбинг'!I63)</f>
        <v>0</v>
      </c>
      <c r="I368" s="320">
        <f>IF(N(E368)&gt;0,N(E368),H368)</f>
        <v>0</v>
      </c>
      <c r="J368" s="320">
        <f>I368*IF(N('Тюбинг'!E63)&gt;0,N('Тюбинг'!E63),N('Тюбинг'!G63))</f>
        <v>0</v>
      </c>
      <c r="K368" s="320">
        <f>I368*IF(N('Тюбинг'!F63)&gt;0,N('Тюбинг'!F63),N('Тюбинг'!G63))</f>
        <v>0</v>
      </c>
      <c r="L368" s="320">
        <f>N(L367)+(N(I368)&gt;0)</f>
        <v>0</v>
      </c>
    </row>
    <row r="369">
      <c r="A369" s="321" t="inlineStr">
        <is>
          <t xml:space="preserve">Тюбинг</t>
        </is>
      </c>
      <c r="B369" s="314" t="str">
        <f>'Тюбинг'!A64&amp;""</f>
        <v>SLT-17 (10) без разреза</v>
      </c>
      <c r="C369" s="315" t="str">
        <f>'Тюбинг'!B64&amp;""</f>
        <v>диаметр 15,7 мм, без разреза</v>
      </c>
      <c r="D369" s="316" t="str">
        <f>IF('Тюбинг'!H64="+","есть",IF('Тюбинг'!H64="-","нет",""))</f>
        <v>есть</v>
      </c>
      <c r="E369" s="317"/>
      <c r="F369" s="318">
        <f>IF(N('Тюбинг'!G64)&lt;=0,"по запросу",CHOOSE($K$3,IF(N('Тюбинг'!E64)&gt;0,N('Тюбинг'!E64),N('Тюбинг'!G64)),IF(N('Тюбинг'!F64)&gt;0,N('Тюбинг'!F64),N('Тюбинг'!G64)),N('Тюбинг'!G64)))</f>
        <v>747.8</v>
      </c>
      <c r="G369" s="319" t="str">
        <f>IF(I369&lt;=0,"",IF(ISNUMBER(F369),I369*F369,"по запросу"))</f>
        <v/>
      </c>
      <c r="H369" s="320">
        <f>N('Тюбинг'!I64)</f>
        <v>0</v>
      </c>
      <c r="I369" s="320">
        <f>IF(N(E369)&gt;0,N(E369),H369)</f>
        <v>0</v>
      </c>
      <c r="J369" s="320">
        <f>I369*IF(N('Тюбинг'!E64)&gt;0,N('Тюбинг'!E64),N('Тюбинг'!G64))</f>
        <v>0</v>
      </c>
      <c r="K369" s="320">
        <f>I369*IF(N('Тюбинг'!F64)&gt;0,N('Тюбинг'!F64),N('Тюбинг'!G64))</f>
        <v>0</v>
      </c>
      <c r="L369" s="320">
        <f>N(L368)+(N(I369)&gt;0)</f>
        <v>0</v>
      </c>
    </row>
    <row r="370" ht="20" customHeight="1">
      <c r="A370" s="321" t="inlineStr">
        <is>
          <t xml:space="preserve">Тюбинг</t>
        </is>
      </c>
      <c r="B370" s="312" t="inlineStr">
        <is>
          <t xml:space="preserve">Тюбинг гофрированный, длина 25 метров:</t>
        </is>
      </c>
      <c r="L370" s="320">
        <f>N(L369)+(N(I370)&gt;0)</f>
        <v>0</v>
      </c>
    </row>
    <row r="371">
      <c r="A371" s="321" t="inlineStr">
        <is>
          <t xml:space="preserve">Тюбинг</t>
        </is>
      </c>
      <c r="B371" s="314" t="str">
        <f>'Тюбинг'!A66&amp;""</f>
        <v>SLT-30 (25)</v>
      </c>
      <c r="C371" s="315" t="str">
        <f>'Тюбинг'!B66&amp;""</f>
        <v>диаметр 25,8 мм, c разрезом</v>
      </c>
      <c r="D371" s="316" t="str">
        <f>IF('Тюбинг'!H66="+","есть",IF('Тюбинг'!H66="-","нет",""))</f>
        <v>есть</v>
      </c>
      <c r="E371" s="317"/>
      <c r="F371" s="318">
        <f>IF(N('Тюбинг'!G66)&lt;=0,"по запросу",CHOOSE($K$3,IF(N('Тюбинг'!E66)&gt;0,N('Тюбинг'!E66),N('Тюбинг'!G66)),IF(N('Тюбинг'!F66)&gt;0,N('Тюбинг'!F66),N('Тюбинг'!G66)),N('Тюбинг'!G66)))</f>
        <v>2072.6</v>
      </c>
      <c r="G371" s="319" t="str">
        <f>IF(I371&lt;=0,"",IF(ISNUMBER(F371),I371*F371,"по запросу"))</f>
        <v/>
      </c>
      <c r="H371" s="320">
        <f>N('Тюбинг'!I66)</f>
        <v>0</v>
      </c>
      <c r="I371" s="320">
        <f>IF(N(E371)&gt;0,N(E371),H371)</f>
        <v>0</v>
      </c>
      <c r="J371" s="320">
        <f>I371*IF(N('Тюбинг'!E66)&gt;0,N('Тюбинг'!E66),N('Тюбинг'!G66))</f>
        <v>0</v>
      </c>
      <c r="K371" s="320">
        <f>I371*IF(N('Тюбинг'!F66)&gt;0,N('Тюбинг'!F66),N('Тюбинг'!G66))</f>
        <v>0</v>
      </c>
      <c r="L371" s="320">
        <f>N(L370)+(N(I371)&gt;0)</f>
        <v>0</v>
      </c>
    </row>
    <row r="372" ht="20" customHeight="1">
      <c r="A372" s="321" t="inlineStr">
        <is>
          <t xml:space="preserve">Тюбинг</t>
        </is>
      </c>
      <c r="B372" s="312" t="inlineStr">
        <is>
          <t xml:space="preserve">Тюбинг гофрированный, длина 50 метров:</t>
        </is>
      </c>
      <c r="L372" s="320">
        <f>N(L371)+(N(I372)&gt;0)</f>
        <v>0</v>
      </c>
    </row>
    <row r="373">
      <c r="A373" s="321" t="inlineStr">
        <is>
          <t xml:space="preserve">Тюбинг</t>
        </is>
      </c>
      <c r="B373" s="314" t="str">
        <f>'Тюбинг'!A68&amp;""</f>
        <v>SLT-7 (50)</v>
      </c>
      <c r="C373" s="315" t="str">
        <f>'Тюбинг'!B68&amp;""</f>
        <v>диаметр 6,6 мм, с разрезом</v>
      </c>
      <c r="D373" s="316" t="str">
        <f>IF('Тюбинг'!H68="+","есть",IF('Тюбинг'!H68="-","нет",""))</f>
        <v>есть</v>
      </c>
      <c r="E373" s="317"/>
      <c r="F373" s="318">
        <f>IF(N('Тюбинг'!G68)&lt;=0,"по запросу",CHOOSE($K$3,IF(N('Тюбинг'!E68)&gt;0,N('Тюбинг'!E68),N('Тюбинг'!G68)),IF(N('Тюбинг'!F68)&gt;0,N('Тюбинг'!F68),N('Тюбинг'!G68)),N('Тюбинг'!G68)))</f>
        <v>1542.4</v>
      </c>
      <c r="G373" s="319" t="str">
        <f>IF(I373&lt;=0,"",IF(ISNUMBER(F373),I373*F373,"по запросу"))</f>
        <v/>
      </c>
      <c r="H373" s="320">
        <f>N('Тюбинг'!I68)</f>
        <v>0</v>
      </c>
      <c r="I373" s="320">
        <f>IF(N(E373)&gt;0,N(E373),H373)</f>
        <v>0</v>
      </c>
      <c r="J373" s="320">
        <f>I373*IF(N('Тюбинг'!E68)&gt;0,N('Тюбинг'!E68),N('Тюбинг'!G68))</f>
        <v>0</v>
      </c>
      <c r="K373" s="320">
        <f>I373*IF(N('Тюбинг'!F68)&gt;0,N('Тюбинг'!F68),N('Тюбинг'!G68))</f>
        <v>0</v>
      </c>
      <c r="L373" s="320">
        <f>N(L372)+(N(I373)&gt;0)</f>
        <v>0</v>
      </c>
    </row>
    <row r="374">
      <c r="A374" s="321" t="inlineStr">
        <is>
          <t xml:space="preserve">Тюбинг</t>
        </is>
      </c>
      <c r="B374" s="314" t="str">
        <f>'Тюбинг'!A69&amp;""</f>
        <v>SLT-10 (50)</v>
      </c>
      <c r="C374" s="315" t="str">
        <f>'Тюбинг'!B69&amp;""</f>
        <v>диаметр 9,7 мм, с разрезом</v>
      </c>
      <c r="D374" s="316" t="str">
        <f>IF('Тюбинг'!H69="+","есть",IF('Тюбинг'!H69="-","нет",""))</f>
        <v>есть</v>
      </c>
      <c r="E374" s="317"/>
      <c r="F374" s="318">
        <f>IF(N('Тюбинг'!G69)&lt;=0,"по запросу",CHOOSE($K$3,IF(N('Тюбинг'!E69)&gt;0,N('Тюбинг'!E69),N('Тюбинг'!G69)),IF(N('Тюбинг'!F69)&gt;0,N('Тюбинг'!F69),N('Тюбинг'!G69)),N('Тюбинг'!G69)))</f>
        <v>2013.1</v>
      </c>
      <c r="G374" s="319" t="str">
        <f>IF(I374&lt;=0,"",IF(ISNUMBER(F374),I374*F374,"по запросу"))</f>
        <v/>
      </c>
      <c r="H374" s="320">
        <f>N('Тюбинг'!I69)</f>
        <v>0</v>
      </c>
      <c r="I374" s="320">
        <f>IF(N(E374)&gt;0,N(E374),H374)</f>
        <v>0</v>
      </c>
      <c r="J374" s="320">
        <f>I374*IF(N('Тюбинг'!E69)&gt;0,N('Тюбинг'!E69),N('Тюбинг'!G69))</f>
        <v>0</v>
      </c>
      <c r="K374" s="320">
        <f>I374*IF(N('Тюбинг'!F69)&gt;0,N('Тюбинг'!F69),N('Тюбинг'!G69))</f>
        <v>0</v>
      </c>
      <c r="L374" s="320">
        <f>N(L373)+(N(I374)&gt;0)</f>
        <v>0</v>
      </c>
    </row>
    <row r="375">
      <c r="A375" s="321" t="inlineStr">
        <is>
          <t xml:space="preserve">Тюбинг</t>
        </is>
      </c>
      <c r="B375" s="314" t="str">
        <f>'Тюбинг'!A70&amp;""</f>
        <v>SLT-10 (50) без разреза</v>
      </c>
      <c r="C375" s="315" t="str">
        <f>'Тюбинг'!B70&amp;""</f>
        <v>диаметр 9,7 мм, без разреза</v>
      </c>
      <c r="D375" s="316" t="str">
        <f>IF('Тюбинг'!H70="+","есть",IF('Тюбинг'!H70="-","нет",""))</f>
        <v>есть</v>
      </c>
      <c r="E375" s="317"/>
      <c r="F375" s="318">
        <f>IF(N('Тюбинг'!G70)&lt;=0,"по запросу",CHOOSE($K$3,IF(N('Тюбинг'!E70)&gt;0,N('Тюбинг'!E70),N('Тюбинг'!G70)),IF(N('Тюбинг'!F70)&gt;0,N('Тюбинг'!F70),N('Тюбинг'!G70)),N('Тюбинг'!G70)))</f>
        <v>1830.1</v>
      </c>
      <c r="G375" s="319" t="str">
        <f>IF(I375&lt;=0,"",IF(ISNUMBER(F375),I375*F375,"по запросу"))</f>
        <v/>
      </c>
      <c r="H375" s="320">
        <f>N('Тюбинг'!I70)</f>
        <v>0</v>
      </c>
      <c r="I375" s="320">
        <f>IF(N(E375)&gt;0,N(E375),H375)</f>
        <v>0</v>
      </c>
      <c r="J375" s="320">
        <f>I375*IF(N('Тюбинг'!E70)&gt;0,N('Тюбинг'!E70),N('Тюбинг'!G70))</f>
        <v>0</v>
      </c>
      <c r="K375" s="320">
        <f>I375*IF(N('Тюбинг'!F70)&gt;0,N('Тюбинг'!F70),N('Тюбинг'!G70))</f>
        <v>0</v>
      </c>
      <c r="L375" s="320">
        <f>N(L374)+(N(I375)&gt;0)</f>
        <v>0</v>
      </c>
    </row>
    <row r="376">
      <c r="A376" s="321" t="inlineStr">
        <is>
          <t xml:space="preserve">Тюбинг</t>
        </is>
      </c>
      <c r="B376" s="314" t="str">
        <f>'Тюбинг'!A71&amp;""</f>
        <v>SLT-13 (50)</v>
      </c>
      <c r="C376" s="315" t="str">
        <f>'Тюбинг'!B71&amp;""</f>
        <v>диаметр 13 мм, с разрезом</v>
      </c>
      <c r="D376" s="316" t="str">
        <f>IF('Тюбинг'!H71="+","есть",IF('Тюбинг'!H71="-","нет",""))</f>
        <v>есть</v>
      </c>
      <c r="E376" s="317"/>
      <c r="F376" s="318">
        <f>IF(N('Тюбинг'!G71)&lt;=0,"по запросу",CHOOSE($K$3,IF(N('Тюбинг'!E71)&gt;0,N('Тюбинг'!E71),N('Тюбинг'!G71)),IF(N('Тюбинг'!F71)&gt;0,N('Тюбинг'!F71),N('Тюбинг'!G71)),N('Тюбинг'!G71)))</f>
        <v>2494</v>
      </c>
      <c r="G376" s="319" t="str">
        <f>IF(I376&lt;=0,"",IF(ISNUMBER(F376),I376*F376,"по запросу"))</f>
        <v/>
      </c>
      <c r="H376" s="320">
        <f>N('Тюбинг'!I71)</f>
        <v>0</v>
      </c>
      <c r="I376" s="320">
        <f>IF(N(E376)&gt;0,N(E376),H376)</f>
        <v>0</v>
      </c>
      <c r="J376" s="320">
        <f>I376*IF(N('Тюбинг'!E71)&gt;0,N('Тюбинг'!E71),N('Тюбинг'!G71))</f>
        <v>0</v>
      </c>
      <c r="K376" s="320">
        <f>I376*IF(N('Тюбинг'!F71)&gt;0,N('Тюбинг'!F71),N('Тюбинг'!G71))</f>
        <v>0</v>
      </c>
      <c r="L376" s="320">
        <f>N(L375)+(N(I376)&gt;0)</f>
        <v>0</v>
      </c>
    </row>
    <row r="377">
      <c r="A377" s="321" t="inlineStr">
        <is>
          <t xml:space="preserve">Тюбинг</t>
        </is>
      </c>
      <c r="B377" s="314" t="str">
        <f>'Тюбинг'!A72&amp;""</f>
        <v>SLT-17 (50)</v>
      </c>
      <c r="C377" s="315" t="str">
        <f>'Тюбинг'!B72&amp;""</f>
        <v>диаметр 15,7 мм, с разрезом</v>
      </c>
      <c r="D377" s="316" t="str">
        <f>IF('Тюбинг'!H72="+","есть",IF('Тюбинг'!H72="-","нет",""))</f>
        <v>есть</v>
      </c>
      <c r="E377" s="317"/>
      <c r="F377" s="318">
        <f>IF(N('Тюбинг'!G72)&lt;=0,"по запросу",CHOOSE($K$3,IF(N('Тюбинг'!E72)&gt;0,N('Тюбинг'!E72),N('Тюбинг'!G72)),IF(N('Тюбинг'!F72)&gt;0,N('Тюбинг'!F72),N('Тюбинг'!G72)),N('Тюбинг'!G72)))</f>
        <v>3395.4</v>
      </c>
      <c r="G377" s="319" t="str">
        <f>IF(I377&lt;=0,"",IF(ISNUMBER(F377),I377*F377,"по запросу"))</f>
        <v/>
      </c>
      <c r="H377" s="320">
        <f>N('Тюбинг'!I72)</f>
        <v>0</v>
      </c>
      <c r="I377" s="320">
        <f>IF(N(E377)&gt;0,N(E377),H377)</f>
        <v>0</v>
      </c>
      <c r="J377" s="320">
        <f>I377*IF(N('Тюбинг'!E72)&gt;0,N('Тюбинг'!E72),N('Тюбинг'!G72))</f>
        <v>0</v>
      </c>
      <c r="K377" s="320">
        <f>I377*IF(N('Тюбинг'!F72)&gt;0,N('Тюбинг'!F72),N('Тюбинг'!G72))</f>
        <v>0</v>
      </c>
      <c r="L377" s="320">
        <f>N(L376)+(N(I377)&gt;0)</f>
        <v>0</v>
      </c>
    </row>
    <row r="378" ht="20" customHeight="1">
      <c r="A378" s="321" t="inlineStr">
        <is>
          <t xml:space="preserve">Тюбинг</t>
        </is>
      </c>
      <c r="B378" s="312" t="inlineStr">
        <is>
          <t xml:space="preserve">Тюбинг гофрированный, длина 100 метров:</t>
        </is>
      </c>
      <c r="L378" s="320">
        <f>N(L377)+(N(I378)&gt;0)</f>
        <v>0</v>
      </c>
    </row>
    <row r="379">
      <c r="A379" s="321" t="inlineStr">
        <is>
          <t xml:space="preserve">Тюбинг</t>
        </is>
      </c>
      <c r="B379" s="314" t="str">
        <f>'Тюбинг'!A74&amp;""</f>
        <v>SLT-4 (100)</v>
      </c>
      <c r="C379" s="315" t="str">
        <f>'Тюбинг'!B74&amp;""</f>
        <v>диаметр 4,6 мм, с разрезом</v>
      </c>
      <c r="D379" s="316" t="str">
        <f>IF('Тюбинг'!H74="+","есть",IF('Тюбинг'!H74="-","нет",""))</f>
        <v>есть</v>
      </c>
      <c r="E379" s="317"/>
      <c r="F379" s="318">
        <f>IF(N('Тюбинг'!G74)&lt;=0,"по запросу",CHOOSE($K$3,IF(N('Тюбинг'!E74)&gt;0,N('Тюбинг'!E74),N('Тюбинг'!G74)),IF(N('Тюбинг'!F74)&gt;0,N('Тюбинг'!F74),N('Тюбинг'!G74)),N('Тюбинг'!G74)))</f>
        <v>2833.1</v>
      </c>
      <c r="G379" s="319" t="str">
        <f>IF(I379&lt;=0,"",IF(ISNUMBER(F379),I379*F379,"по запросу"))</f>
        <v/>
      </c>
      <c r="H379" s="320">
        <f>N('Тюбинг'!I74)</f>
        <v>0</v>
      </c>
      <c r="I379" s="320">
        <f>IF(N(E379)&gt;0,N(E379),H379)</f>
        <v>0</v>
      </c>
      <c r="J379" s="320">
        <f>I379*IF(N('Тюбинг'!E74)&gt;0,N('Тюбинг'!E74),N('Тюбинг'!G74))</f>
        <v>0</v>
      </c>
      <c r="K379" s="320">
        <f>I379*IF(N('Тюбинг'!F74)&gt;0,N('Тюбинг'!F74),N('Тюбинг'!G74))</f>
        <v>0</v>
      </c>
      <c r="L379" s="320">
        <f>N(L378)+(N(I379)&gt;0)</f>
        <v>0</v>
      </c>
    </row>
    <row r="380">
      <c r="A380" s="321" t="inlineStr">
        <is>
          <t xml:space="preserve">Тюбинг</t>
        </is>
      </c>
      <c r="B380" s="314" t="str">
        <f>'Тюбинг'!A75&amp;""</f>
        <v>SLT-4 (100) без разреза</v>
      </c>
      <c r="C380" s="315" t="str">
        <f>'Тюбинг'!B75&amp;""</f>
        <v>диаметр 4,6 мм, без разреза</v>
      </c>
      <c r="D380" s="316" t="str">
        <f>IF('Тюбинг'!H75="+","есть",IF('Тюбинг'!H75="-","нет",""))</f>
        <v>есть</v>
      </c>
      <c r="E380" s="317"/>
      <c r="F380" s="318">
        <f>IF(N('Тюбинг'!G75)&lt;=0,"по запросу",CHOOSE($K$3,IF(N('Тюбинг'!E75)&gt;0,N('Тюбинг'!E75),N('Тюбинг'!G75)),IF(N('Тюбинг'!F75)&gt;0,N('Тюбинг'!F75),N('Тюбинг'!G75)),N('Тюбинг'!G75)))</f>
        <v>1086.3</v>
      </c>
      <c r="G380" s="319" t="str">
        <f>IF(I380&lt;=0,"",IF(ISNUMBER(F380),I380*F380,"по запросу"))</f>
        <v/>
      </c>
      <c r="H380" s="320">
        <f>N('Тюбинг'!I75)</f>
        <v>0</v>
      </c>
      <c r="I380" s="320">
        <f>IF(N(E380)&gt;0,N(E380),H380)</f>
        <v>0</v>
      </c>
      <c r="J380" s="320">
        <f>I380*IF(N('Тюбинг'!E75)&gt;0,N('Тюбинг'!E75),N('Тюбинг'!G75))</f>
        <v>0</v>
      </c>
      <c r="K380" s="320">
        <f>I380*IF(N('Тюбинг'!F75)&gt;0,N('Тюбинг'!F75),N('Тюбинг'!G75))</f>
        <v>0</v>
      </c>
      <c r="L380" s="320">
        <f>N(L379)+(N(I380)&gt;0)</f>
        <v>0</v>
      </c>
    </row>
    <row r="381" ht="20" customHeight="1">
      <c r="A381" s="321" t="inlineStr">
        <is>
          <t xml:space="preserve">Тюбинг</t>
        </is>
      </c>
      <c r="B381" s="312" t="inlineStr">
        <is>
          <t xml:space="preserve">Тюбинг спиральный 10метров:</t>
        </is>
      </c>
      <c r="L381" s="320">
        <f>N(L380)+(N(I381)&gt;0)</f>
        <v>0</v>
      </c>
    </row>
    <row r="382">
      <c r="A382" s="321" t="inlineStr">
        <is>
          <t xml:space="preserve">Тюбинг</t>
        </is>
      </c>
      <c r="B382" s="314" t="str">
        <f>'Тюбинг'!A77&amp;""</f>
        <v>SPT-4,5</v>
      </c>
      <c r="C382" s="315" t="str">
        <f>'Тюбинг'!B77&amp;""</f>
        <v>рабочий диапазон:4,5мм-25мм, черный</v>
      </c>
      <c r="D382" s="316" t="str">
        <f>IF('Тюбинг'!H77="+","есть",IF('Тюбинг'!H77="-","нет",""))</f>
        <v>есть</v>
      </c>
      <c r="E382" s="317"/>
      <c r="F382" s="318">
        <f>IF(N('Тюбинг'!G77)&lt;=0,"по запросу",CHOOSE($K$3,IF(N('Тюбинг'!E77)&gt;0,N('Тюбинг'!E77),N('Тюбинг'!G77)),IF(N('Тюбинг'!F77)&gt;0,N('Тюбинг'!F77),N('Тюбинг'!G77)),N('Тюбинг'!G77)))</f>
        <v>209.5</v>
      </c>
      <c r="G382" s="319" t="str">
        <f>IF(I382&lt;=0,"",IF(ISNUMBER(F382),I382*F382,"по запросу"))</f>
        <v/>
      </c>
      <c r="H382" s="320">
        <f>N('Тюбинг'!I77)</f>
        <v>0</v>
      </c>
      <c r="I382" s="320">
        <f>IF(N(E382)&gt;0,N(E382),H382)</f>
        <v>0</v>
      </c>
      <c r="J382" s="320">
        <f>I382*IF(N('Тюбинг'!E77)&gt;0,N('Тюбинг'!E77),N('Тюбинг'!G77))</f>
        <v>0</v>
      </c>
      <c r="K382" s="320">
        <f>I382*IF(N('Тюбинг'!F77)&gt;0,N('Тюбинг'!F77),N('Тюбинг'!G77))</f>
        <v>0</v>
      </c>
      <c r="L382" s="320">
        <f>N(L381)+(N(I382)&gt;0)</f>
        <v>0</v>
      </c>
    </row>
    <row r="383">
      <c r="A383" s="321" t="inlineStr">
        <is>
          <t xml:space="preserve">Тюбинг</t>
        </is>
      </c>
      <c r="B383" s="314" t="str">
        <f>'Тюбинг'!A78&amp;""</f>
        <v>SPT-6</v>
      </c>
      <c r="C383" s="315" t="str">
        <f>'Тюбинг'!B78&amp;""</f>
        <v>рабочий диапазон:5мм-25мм, черный</v>
      </c>
      <c r="D383" s="316" t="str">
        <f>IF('Тюбинг'!H78="+","есть",IF('Тюбинг'!H78="-","нет",""))</f>
        <v>есть</v>
      </c>
      <c r="E383" s="317"/>
      <c r="F383" s="318">
        <f>IF(N('Тюбинг'!G78)&lt;=0,"по запросу",CHOOSE($K$3,IF(N('Тюбинг'!E78)&gt;0,N('Тюбинг'!E78),N('Тюбинг'!G78)),IF(N('Тюбинг'!F78)&gt;0,N('Тюбинг'!F78),N('Тюбинг'!G78)),N('Тюбинг'!G78)))</f>
        <v>275.8</v>
      </c>
      <c r="G383" s="319" t="str">
        <f>IF(I383&lt;=0,"",IF(ISNUMBER(F383),I383*F383,"по запросу"))</f>
        <v/>
      </c>
      <c r="H383" s="320">
        <f>N('Тюбинг'!I78)</f>
        <v>0</v>
      </c>
      <c r="I383" s="320">
        <f>IF(N(E383)&gt;0,N(E383),H383)</f>
        <v>0</v>
      </c>
      <c r="J383" s="320">
        <f>I383*IF(N('Тюбинг'!E78)&gt;0,N('Тюбинг'!E78),N('Тюбинг'!G78))</f>
        <v>0</v>
      </c>
      <c r="K383" s="320">
        <f>I383*IF(N('Тюбинг'!F78)&gt;0,N('Тюбинг'!F78),N('Тюбинг'!G78))</f>
        <v>0</v>
      </c>
      <c r="L383" s="320">
        <f>N(L382)+(N(I383)&gt;0)</f>
        <v>0</v>
      </c>
    </row>
    <row r="384">
      <c r="A384" s="321" t="inlineStr">
        <is>
          <t xml:space="preserve">Тюбинг</t>
        </is>
      </c>
      <c r="B384" s="314" t="str">
        <f>'Тюбинг'!A79&amp;""</f>
        <v>SPT-15</v>
      </c>
      <c r="C384" s="315" t="str">
        <f>'Тюбинг'!B79&amp;""</f>
        <v>рабочий диапазон:12мм-35мм, черный</v>
      </c>
      <c r="D384" s="316" t="str">
        <f>IF('Тюбинг'!H79="+","есть",IF('Тюбинг'!H79="-","нет",""))</f>
        <v>есть</v>
      </c>
      <c r="E384" s="317"/>
      <c r="F384" s="318">
        <f>IF(N('Тюбинг'!G79)&lt;=0,"по запросу",CHOOSE($K$3,IF(N('Тюбинг'!E79)&gt;0,N('Тюбинг'!E79),N('Тюбинг'!G79)),IF(N('Тюбинг'!F79)&gt;0,N('Тюбинг'!F79),N('Тюбинг'!G79)),N('Тюбинг'!G79)))</f>
        <v>567.3</v>
      </c>
      <c r="G384" s="319" t="str">
        <f>IF(I384&lt;=0,"",IF(ISNUMBER(F384),I384*F384,"по запросу"))</f>
        <v/>
      </c>
      <c r="H384" s="320">
        <f>N('Тюбинг'!I79)</f>
        <v>0</v>
      </c>
      <c r="I384" s="320">
        <f>IF(N(E384)&gt;0,N(E384),H384)</f>
        <v>0</v>
      </c>
      <c r="J384" s="320">
        <f>I384*IF(N('Тюбинг'!E79)&gt;0,N('Тюбинг'!E79),N('Тюбинг'!G79))</f>
        <v>0</v>
      </c>
      <c r="K384" s="320">
        <f>I384*IF(N('Тюбинг'!F79)&gt;0,N('Тюбинг'!F79),N('Тюбинг'!G79))</f>
        <v>0</v>
      </c>
      <c r="L384" s="320">
        <f>N(L383)+(N(I384)&gt;0)</f>
        <v>0</v>
      </c>
    </row>
    <row r="385">
      <c r="A385" s="321" t="inlineStr">
        <is>
          <t xml:space="preserve">Тюбинг</t>
        </is>
      </c>
      <c r="B385" s="314" t="str">
        <f>'Тюбинг'!A80&amp;""</f>
        <v>SPT-15 natural</v>
      </c>
      <c r="C385" s="315" t="str">
        <f>'Тюбинг'!B80&amp;""</f>
        <v>рабочий диапазон:12мм-35мм, белый</v>
      </c>
      <c r="D385" s="316" t="str">
        <f>IF('Тюбинг'!H80="+","есть",IF('Тюбинг'!H80="-","нет",""))</f>
        <v>есть</v>
      </c>
      <c r="E385" s="317"/>
      <c r="F385" s="318">
        <f>IF(N('Тюбинг'!G80)&lt;=0,"по запросу",CHOOSE($K$3,IF(N('Тюбинг'!E80)&gt;0,N('Тюбинг'!E80),N('Тюбинг'!G80)),IF(N('Тюбинг'!F80)&gt;0,N('Тюбинг'!F80),N('Тюбинг'!G80)),N('Тюбинг'!G80)))</f>
        <v>567.3</v>
      </c>
      <c r="G385" s="319" t="str">
        <f>IF(I385&lt;=0,"",IF(ISNUMBER(F385),I385*F385,"по запросу"))</f>
        <v/>
      </c>
      <c r="H385" s="320">
        <f>N('Тюбинг'!I80)</f>
        <v>0</v>
      </c>
      <c r="I385" s="320">
        <f>IF(N(E385)&gt;0,N(E385),H385)</f>
        <v>0</v>
      </c>
      <c r="J385" s="320">
        <f>I385*IF(N('Тюбинг'!E80)&gt;0,N('Тюбинг'!E80),N('Тюбинг'!G80))</f>
        <v>0</v>
      </c>
      <c r="K385" s="320">
        <f>I385*IF(N('Тюбинг'!F80)&gt;0,N('Тюбинг'!F80),N('Тюбинг'!G80))</f>
        <v>0</v>
      </c>
      <c r="L385" s="320">
        <f>N(L384)+(N(I385)&gt;0)</f>
        <v>0</v>
      </c>
    </row>
    <row r="386">
      <c r="A386" s="321" t="inlineStr">
        <is>
          <t xml:space="preserve">Тюбинг</t>
        </is>
      </c>
      <c r="B386" s="314" t="str">
        <f>'Тюбинг'!A81&amp;""</f>
        <v>SPT-19</v>
      </c>
      <c r="C386" s="315" t="str">
        <f>'Тюбинг'!B81&amp;""</f>
        <v>рабочий диапазон:15мм-50мм, черный</v>
      </c>
      <c r="D386" s="316" t="str">
        <f>IF('Тюбинг'!H81="+","есть",IF('Тюбинг'!H81="-","нет",""))</f>
        <v>есть</v>
      </c>
      <c r="E386" s="317"/>
      <c r="F386" s="318">
        <f>IF(N('Тюбинг'!G81)&lt;=0,"по запросу",CHOOSE($K$3,IF(N('Тюбинг'!E81)&gt;0,N('Тюбинг'!E81),N('Тюбинг'!G81)),IF(N('Тюбинг'!F81)&gt;0,N('Тюбинг'!F81),N('Тюбинг'!G81)),N('Тюбинг'!G81)))</f>
        <v>709.1</v>
      </c>
      <c r="G386" s="319" t="str">
        <f>IF(I386&lt;=0,"",IF(ISNUMBER(F386),I386*F386,"по запросу"))</f>
        <v/>
      </c>
      <c r="H386" s="320">
        <f>N('Тюбинг'!I81)</f>
        <v>0</v>
      </c>
      <c r="I386" s="320">
        <f>IF(N(E386)&gt;0,N(E386),H386)</f>
        <v>0</v>
      </c>
      <c r="J386" s="320">
        <f>I386*IF(N('Тюбинг'!E81)&gt;0,N('Тюбинг'!E81),N('Тюбинг'!G81))</f>
        <v>0</v>
      </c>
      <c r="K386" s="320">
        <f>I386*IF(N('Тюбинг'!F81)&gt;0,N('Тюбинг'!F81),N('Тюбинг'!G81))</f>
        <v>0</v>
      </c>
      <c r="L386" s="320">
        <f>N(L385)+(N(I386)&gt;0)</f>
        <v>0</v>
      </c>
    </row>
    <row r="387">
      <c r="A387" s="321" t="inlineStr">
        <is>
          <t xml:space="preserve">Тюбинг</t>
        </is>
      </c>
      <c r="B387" s="314" t="str">
        <f>'Тюбинг'!A82&amp;""</f>
        <v>SPT-19 natural</v>
      </c>
      <c r="C387" s="315" t="str">
        <f>'Тюбинг'!B82&amp;""</f>
        <v>рабочий диапазон:15мм-50мм, белый</v>
      </c>
      <c r="D387" s="316" t="str">
        <f>IF('Тюбинг'!H82="+","есть",IF('Тюбинг'!H82="-","нет",""))</f>
        <v>есть</v>
      </c>
      <c r="E387" s="317"/>
      <c r="F387" s="318">
        <f>IF(N('Тюбинг'!G82)&lt;=0,"по запросу",CHOOSE($K$3,IF(N('Тюбинг'!E82)&gt;0,N('Тюбинг'!E82),N('Тюбинг'!G82)),IF(N('Тюбинг'!F82)&gt;0,N('Тюбинг'!F82),N('Тюбинг'!G82)),N('Тюбинг'!G82)))</f>
        <v>709.1</v>
      </c>
      <c r="G387" s="319" t="str">
        <f>IF(I387&lt;=0,"",IF(ISNUMBER(F387),I387*F387,"по запросу"))</f>
        <v/>
      </c>
      <c r="H387" s="320">
        <f>N('Тюбинг'!I82)</f>
        <v>0</v>
      </c>
      <c r="I387" s="320">
        <f>IF(N(E387)&gt;0,N(E387),H387)</f>
        <v>0</v>
      </c>
      <c r="J387" s="320">
        <f>I387*IF(N('Тюбинг'!E82)&gt;0,N('Тюбинг'!E82),N('Тюбинг'!G82))</f>
        <v>0</v>
      </c>
      <c r="K387" s="320">
        <f>I387*IF(N('Тюбинг'!F82)&gt;0,N('Тюбинг'!F82),N('Тюбинг'!G82))</f>
        <v>0</v>
      </c>
      <c r="L387" s="320">
        <f>N(L386)+(N(I387)&gt;0)</f>
        <v>0</v>
      </c>
    </row>
    <row r="388">
      <c r="A388" s="321" t="inlineStr">
        <is>
          <t xml:space="preserve">Тюбинг</t>
        </is>
      </c>
      <c r="B388" s="314" t="str">
        <f>'Тюбинг'!A83&amp;""</f>
        <v>SPT-24</v>
      </c>
      <c r="C388" s="315" t="str">
        <f>'Тюбинг'!B83&amp;""</f>
        <v>рабочий диапазон:20мм-100мм, черный</v>
      </c>
      <c r="D388" s="316" t="str">
        <f>IF('Тюбинг'!H83="+","есть",IF('Тюбинг'!H83="-","нет",""))</f>
        <v>есть</v>
      </c>
      <c r="E388" s="317"/>
      <c r="F388" s="318">
        <f>IF(N('Тюбинг'!G83)&lt;=0,"по запросу",CHOOSE($K$3,IF(N('Тюбинг'!E83)&gt;0,N('Тюбинг'!E83),N('Тюбинг'!G83)),IF(N('Тюбинг'!F83)&gt;0,N('Тюбинг'!F83),N('Тюбинг'!G83)),N('Тюбинг'!G83)))</f>
        <v>1083.6</v>
      </c>
      <c r="G388" s="319" t="str">
        <f>IF(I388&lt;=0,"",IF(ISNUMBER(F388),I388*F388,"по запросу"))</f>
        <v/>
      </c>
      <c r="H388" s="320">
        <f>N('Тюбинг'!I83)</f>
        <v>0</v>
      </c>
      <c r="I388" s="320">
        <f>IF(N(E388)&gt;0,N(E388),H388)</f>
        <v>0</v>
      </c>
      <c r="J388" s="320">
        <f>I388*IF(N('Тюбинг'!E83)&gt;0,N('Тюбинг'!E83),N('Тюбинг'!G83))</f>
        <v>0</v>
      </c>
      <c r="K388" s="320">
        <f>I388*IF(N('Тюбинг'!F83)&gt;0,N('Тюбинг'!F83),N('Тюбинг'!G83))</f>
        <v>0</v>
      </c>
      <c r="L388" s="320">
        <f>N(L387)+(N(I388)&gt;0)</f>
        <v>0</v>
      </c>
    </row>
    <row r="389" ht="28" customHeight="1">
      <c r="A389" s="310" t="inlineStr">
        <is>
          <t xml:space="preserve">Клеммы</t>
        </is>
      </c>
      <c r="B389" s="310"/>
      <c r="C389" s="310"/>
      <c r="D389" s="310"/>
      <c r="E389" s="310"/>
      <c r="F389" s="310"/>
      <c r="G389" s="310"/>
      <c r="L389" s="320">
        <f>N(L388)+(N(I389)&gt;0)</f>
        <v>0</v>
      </c>
    </row>
    <row r="390" ht="66" customHeight="1">
      <c r="A390" s="321" t="inlineStr">
        <is>
          <t xml:space="preserve">Клеммы</t>
        </is>
      </c>
      <c r="C390" s="313" t="inlineStr">
        <is>
          <t xml:space="preserve">В связи с вступлением в силу требований по обязательной маркировке радиоэлектронной продукции (Постановление Правительства РФ № 1954) с 1 декабря 2026 г. — наступает запрет оборота немаркированной радиоэлектронной продукции. Все немаркированные остатки должны быть распроданы либо промаркированы. Товары код ТНВЭД 8536699008 и 8536901000</t>
        </is>
      </c>
      <c r="L390" s="320">
        <f>N(L389)+(N(I390)&gt;0)</f>
        <v>0</v>
      </c>
    </row>
    <row r="391" ht="42" customHeight="1">
      <c r="A391" s="321" t="inlineStr">
        <is>
          <t xml:space="preserve">Клеммы</t>
        </is>
      </c>
      <c r="C391" s="313" t="inlineStr">
        <is>
          <t xml:space="preserve">С 1 мая 2026 года до 30 ноября 2026 года все участники оборота товаров могут начать маркировать остатки товаров, произведенных до 1 мая 2026 года (продажа и отгрузка немаркированных остатков до 01.12.2026 разрешены).</t>
        </is>
      </c>
      <c r="L391" s="320">
        <f>N(L390)+(N(I391)&gt;0)</f>
        <v>0</v>
      </c>
    </row>
    <row r="392" ht="24" customHeight="1">
      <c r="A392" s="321" t="inlineStr">
        <is>
          <t xml:space="preserve">Клеммы</t>
        </is>
      </c>
      <c r="B392" s="311" t="inlineStr">
        <is>
          <t xml:space="preserve">КЛЕММЫ ОБЖИМНЫЕ</t>
        </is>
      </c>
      <c r="L392" s="320">
        <f>N(L391)+(N(I392)&gt;0)</f>
        <v>0</v>
      </c>
    </row>
    <row r="393" ht="20" customHeight="1">
      <c r="A393" s="321" t="inlineStr">
        <is>
          <t xml:space="preserve">Клеммы</t>
        </is>
      </c>
      <c r="B393" s="312" t="inlineStr">
        <is>
          <t xml:space="preserve">Кольцевые без изоляции, 100 шт.</t>
        </is>
      </c>
      <c r="L393" s="320">
        <f>N(L392)+(N(I393)&gt;0)</f>
        <v>0</v>
      </c>
    </row>
    <row r="394">
      <c r="A394" s="321" t="inlineStr">
        <is>
          <t xml:space="preserve">Клеммы</t>
        </is>
      </c>
      <c r="B394" s="314" t="str">
        <f>'Клеммы'!A9&amp;""</f>
        <v>RNB 1-4</v>
      </c>
      <c r="C394" s="315" t="str">
        <f>'Клеммы'!B9&amp;""</f>
        <v>диам. 4,3мм , 0,5-1,5мм²                                                        </v>
      </c>
      <c r="D394" s="316" t="str">
        <f>IF('Клеммы'!H9="+","есть",IF('Клеммы'!H9="-","нет",""))</f>
        <v>нет</v>
      </c>
      <c r="E394" s="317"/>
      <c r="F394" s="318">
        <f>IF(N('Клеммы'!G9)&lt;=0,"по запросу",CHOOSE($K$3,IF(N('Клеммы'!E9)&gt;0,N('Клеммы'!E9),N('Клеммы'!G9)),IF(N('Клеммы'!F9)&gt;0,N('Клеммы'!F9),N('Клеммы'!G9)),N('Клеммы'!G9)))</f>
        <v>256.9</v>
      </c>
      <c r="G394" s="319" t="str">
        <f>IF(I394&lt;=0,"",IF(ISNUMBER(F394),I394*F394,"по запросу"))</f>
        <v/>
      </c>
      <c r="H394" s="320">
        <f>N('Клеммы'!I9)</f>
        <v>0</v>
      </c>
      <c r="I394" s="320">
        <f>IF(N(E394)&gt;0,N(E394),H394)</f>
        <v>0</v>
      </c>
      <c r="J394" s="320">
        <f>I394*IF(N('Клеммы'!E9)&gt;0,N('Клеммы'!E9),N('Клеммы'!G9))</f>
        <v>0</v>
      </c>
      <c r="K394" s="320">
        <f>I394*IF(N('Клеммы'!F9)&gt;0,N('Клеммы'!F9),N('Клеммы'!G9))</f>
        <v>0</v>
      </c>
      <c r="L394" s="320">
        <f>N(L393)+(N(I394)&gt;0)</f>
        <v>0</v>
      </c>
    </row>
    <row r="395">
      <c r="A395" s="321" t="inlineStr">
        <is>
          <t xml:space="preserve">Клеммы</t>
        </is>
      </c>
      <c r="B395" s="314" t="str">
        <f>'Клеммы'!A10&amp;""</f>
        <v>RNB 1-5</v>
      </c>
      <c r="C395" s="315" t="str">
        <f>'Клеммы'!B10&amp;""</f>
        <v>диам. 5,3мм, 0,5-1,5мм²</v>
      </c>
      <c r="D395" s="316" t="str">
        <f>IF('Клеммы'!H10="+","есть",IF('Клеммы'!H10="-","нет",""))</f>
        <v>нет</v>
      </c>
      <c r="E395" s="317"/>
      <c r="F395" s="318">
        <f>IF(N('Клеммы'!G10)&lt;=0,"по запросу",CHOOSE($K$3,IF(N('Клеммы'!E10)&gt;0,N('Клеммы'!E10),N('Клеммы'!G10)),IF(N('Клеммы'!F10)&gt;0,N('Клеммы'!F10),N('Клеммы'!G10)),N('Клеммы'!G10)))</f>
        <v>258.3</v>
      </c>
      <c r="G395" s="319" t="str">
        <f>IF(I395&lt;=0,"",IF(ISNUMBER(F395),I395*F395,"по запросу"))</f>
        <v/>
      </c>
      <c r="H395" s="320">
        <f>N('Клеммы'!I10)</f>
        <v>0</v>
      </c>
      <c r="I395" s="320">
        <f>IF(N(E395)&gt;0,N(E395),H395)</f>
        <v>0</v>
      </c>
      <c r="J395" s="320">
        <f>I395*IF(N('Клеммы'!E10)&gt;0,N('Клеммы'!E10),N('Клеммы'!G10))</f>
        <v>0</v>
      </c>
      <c r="K395" s="320">
        <f>I395*IF(N('Клеммы'!F10)&gt;0,N('Клеммы'!F10),N('Клеммы'!G10))</f>
        <v>0</v>
      </c>
      <c r="L395" s="320">
        <f>N(L394)+(N(I395)&gt;0)</f>
        <v>0</v>
      </c>
    </row>
    <row r="396">
      <c r="A396" s="321" t="inlineStr">
        <is>
          <t xml:space="preserve">Клеммы</t>
        </is>
      </c>
      <c r="B396" s="314" t="str">
        <f>'Клеммы'!A11&amp;""</f>
        <v>RNB 1-6</v>
      </c>
      <c r="C396" s="315" t="str">
        <f>'Клеммы'!B11&amp;""</f>
        <v>диам. 6,7мм, 0,5-1,5мм²</v>
      </c>
      <c r="D396" s="316" t="str">
        <f>IF('Клеммы'!H11="+","есть",IF('Клеммы'!H11="-","нет",""))</f>
        <v>нет</v>
      </c>
      <c r="E396" s="317"/>
      <c r="F396" s="318">
        <f>IF(N('Клеммы'!G11)&lt;=0,"по запросу",CHOOSE($K$3,IF(N('Клеммы'!E11)&gt;0,N('Клеммы'!E11),N('Клеммы'!G11)),IF(N('Клеммы'!F11)&gt;0,N('Клеммы'!F11),N('Клеммы'!G11)),N('Клеммы'!G11)))</f>
        <v>449.1</v>
      </c>
      <c r="G396" s="319" t="str">
        <f>IF(I396&lt;=0,"",IF(ISNUMBER(F396),I396*F396,"по запросу"))</f>
        <v/>
      </c>
      <c r="H396" s="320">
        <f>N('Клеммы'!I11)</f>
        <v>0</v>
      </c>
      <c r="I396" s="320">
        <f>IF(N(E396)&gt;0,N(E396),H396)</f>
        <v>0</v>
      </c>
      <c r="J396" s="320">
        <f>I396*IF(N('Клеммы'!E11)&gt;0,N('Клеммы'!E11),N('Клеммы'!G11))</f>
        <v>0</v>
      </c>
      <c r="K396" s="320">
        <f>I396*IF(N('Клеммы'!F11)&gt;0,N('Клеммы'!F11),N('Клеммы'!G11))</f>
        <v>0</v>
      </c>
      <c r="L396" s="320">
        <f>N(L395)+(N(I396)&gt;0)</f>
        <v>0</v>
      </c>
    </row>
    <row r="397">
      <c r="A397" s="321" t="inlineStr">
        <is>
          <t xml:space="preserve">Клеммы</t>
        </is>
      </c>
      <c r="B397" s="314" t="str">
        <f>'Клеммы'!A12&amp;""</f>
        <v>RNB 2-6</v>
      </c>
      <c r="C397" s="315" t="str">
        <f>'Клеммы'!B12&amp;""</f>
        <v>диам. 6,4мм, 1,5-2,5мм²</v>
      </c>
      <c r="D397" s="316" t="str">
        <f>IF('Клеммы'!H12="+","есть",IF('Клеммы'!H12="-","нет",""))</f>
        <v>нет</v>
      </c>
      <c r="E397" s="317"/>
      <c r="F397" s="318">
        <f>IF(N('Клеммы'!G12)&lt;=0,"по запросу",CHOOSE($K$3,IF(N('Клеммы'!E12)&gt;0,N('Клеммы'!E12),N('Клеммы'!G12)),IF(N('Клеммы'!F12)&gt;0,N('Клеммы'!F12),N('Клеммы'!G12)),N('Клеммы'!G12)))</f>
        <v>571.2</v>
      </c>
      <c r="G397" s="319" t="str">
        <f>IF(I397&lt;=0,"",IF(ISNUMBER(F397),I397*F397,"по запросу"))</f>
        <v/>
      </c>
      <c r="H397" s="320">
        <f>N('Клеммы'!I12)</f>
        <v>0</v>
      </c>
      <c r="I397" s="320">
        <f>IF(N(E397)&gt;0,N(E397),H397)</f>
        <v>0</v>
      </c>
      <c r="J397" s="320">
        <f>I397*IF(N('Клеммы'!E12)&gt;0,N('Клеммы'!E12),N('Клеммы'!G12))</f>
        <v>0</v>
      </c>
      <c r="K397" s="320">
        <f>I397*IF(N('Клеммы'!F12)&gt;0,N('Клеммы'!F12),N('Клеммы'!G12))</f>
        <v>0</v>
      </c>
      <c r="L397" s="320">
        <f>N(L396)+(N(I397)&gt;0)</f>
        <v>0</v>
      </c>
    </row>
    <row r="398">
      <c r="A398" s="321" t="inlineStr">
        <is>
          <t xml:space="preserve">Клеммы</t>
        </is>
      </c>
      <c r="B398" s="314" t="str">
        <f>'Клеммы'!A13&amp;""</f>
        <v>RNB 5-8</v>
      </c>
      <c r="C398" s="315" t="str">
        <f>'Клеммы'!B13&amp;""</f>
        <v>диам. 8,4мм, 4-6мм²                                                        </v>
      </c>
      <c r="D398" s="316" t="str">
        <f>IF('Клеммы'!H13="+","есть",IF('Клеммы'!H13="-","нет",""))</f>
        <v>нет</v>
      </c>
      <c r="E398" s="317"/>
      <c r="F398" s="318">
        <f>IF(N('Клеммы'!G13)&lt;=0,"по запросу",CHOOSE($K$3,IF(N('Клеммы'!E13)&gt;0,N('Клеммы'!E13),N('Клеммы'!G13)),IF(N('Клеммы'!F13)&gt;0,N('Клеммы'!F13),N('Клеммы'!G13)),N('Клеммы'!G13)))</f>
        <v>1183.8</v>
      </c>
      <c r="G398" s="319" t="str">
        <f>IF(I398&lt;=0,"",IF(ISNUMBER(F398),I398*F398,"по запросу"))</f>
        <v/>
      </c>
      <c r="H398" s="320">
        <f>N('Клеммы'!I13)</f>
        <v>0</v>
      </c>
      <c r="I398" s="320">
        <f>IF(N(E398)&gt;0,N(E398),H398)</f>
        <v>0</v>
      </c>
      <c r="J398" s="320">
        <f>I398*IF(N('Клеммы'!E13)&gt;0,N('Клеммы'!E13),N('Клеммы'!G13))</f>
        <v>0</v>
      </c>
      <c r="K398" s="320">
        <f>I398*IF(N('Клеммы'!F13)&gt;0,N('Клеммы'!F13),N('Клеммы'!G13))</f>
        <v>0</v>
      </c>
      <c r="L398" s="320">
        <f>N(L397)+(N(I398)&gt;0)</f>
        <v>0</v>
      </c>
    </row>
    <row r="399" ht="20" customHeight="1">
      <c r="A399" s="321" t="inlineStr">
        <is>
          <t xml:space="preserve">Клеммы</t>
        </is>
      </c>
      <c r="B399" s="312" t="inlineStr">
        <is>
          <t xml:space="preserve">Кольцевые без изоляции, латунь, 100шт.</t>
        </is>
      </c>
      <c r="L399" s="320">
        <f>N(L398)+(N(I399)&gt;0)</f>
        <v>0</v>
      </c>
    </row>
    <row r="400">
      <c r="A400" s="321" t="inlineStr">
        <is>
          <t xml:space="preserve">Клеммы</t>
        </is>
      </c>
      <c r="B400" s="314" t="str">
        <f>'Клеммы'!A15&amp;""</f>
        <v>LR 1-6-0,8</v>
      </c>
      <c r="C400" s="315" t="str">
        <f>'Клеммы'!B15&amp;""</f>
        <v>клемма кольцевая, диам. 6мм, сечение провода 0,5-0,8мм²</v>
      </c>
      <c r="D400" s="316" t="str">
        <f>IF('Клеммы'!H15="+","есть",IF('Клеммы'!H15="-","нет",""))</f>
        <v>есть</v>
      </c>
      <c r="E400" s="317"/>
      <c r="F400" s="318">
        <f>IF(N('Клеммы'!G15)&lt;=0,"по запросу",CHOOSE($K$3,IF(N('Клеммы'!E15)&gt;0,N('Клеммы'!E15),N('Клеммы'!G15)),IF(N('Клеммы'!F15)&gt;0,N('Клеммы'!F15),N('Клеммы'!G15)),N('Клеммы'!G15)))</f>
        <v>339.5</v>
      </c>
      <c r="G400" s="319" t="str">
        <f>IF(I400&lt;=0,"",IF(ISNUMBER(F400),I400*F400,"по запросу"))</f>
        <v/>
      </c>
      <c r="H400" s="320">
        <f>N('Клеммы'!I15)</f>
        <v>0</v>
      </c>
      <c r="I400" s="320">
        <f>IF(N(E400)&gt;0,N(E400),H400)</f>
        <v>0</v>
      </c>
      <c r="J400" s="320">
        <f>I400*IF(N('Клеммы'!E15)&gt;0,N('Клеммы'!E15),N('Клеммы'!G15))</f>
        <v>0</v>
      </c>
      <c r="K400" s="320">
        <f>I400*IF(N('Клеммы'!F15)&gt;0,N('Клеммы'!F15),N('Клеммы'!G15))</f>
        <v>0</v>
      </c>
      <c r="L400" s="320">
        <f>N(L399)+(N(I400)&gt;0)</f>
        <v>0</v>
      </c>
    </row>
    <row r="401">
      <c r="A401" s="321" t="inlineStr">
        <is>
          <t xml:space="preserve">Клеммы</t>
        </is>
      </c>
      <c r="B401" s="314" t="str">
        <f>'Клеммы'!A16&amp;""</f>
        <v>LR 1-8-1,5</v>
      </c>
      <c r="C401" s="315" t="str">
        <f>'Клеммы'!B16&amp;""</f>
        <v>клемма кольцевая, диам. 8мм, сечение провода 1-1,5мм²</v>
      </c>
      <c r="D401" s="316" t="str">
        <f>IF('Клеммы'!H16="+","есть",IF('Клеммы'!H16="-","нет",""))</f>
        <v>есть</v>
      </c>
      <c r="E401" s="317"/>
      <c r="F401" s="318">
        <f>IF(N('Клеммы'!G16)&lt;=0,"по запросу",CHOOSE($K$3,IF(N('Клеммы'!E16)&gt;0,N('Клеммы'!E16),N('Клеммы'!G16)),IF(N('Клеммы'!F16)&gt;0,N('Клеммы'!F16),N('Клеммы'!G16)),N('Клеммы'!G16)))</f>
        <v>501.4</v>
      </c>
      <c r="G401" s="319" t="str">
        <f>IF(I401&lt;=0,"",IF(ISNUMBER(F401),I401*F401,"по запросу"))</f>
        <v/>
      </c>
      <c r="H401" s="320">
        <f>N('Клеммы'!I16)</f>
        <v>0</v>
      </c>
      <c r="I401" s="320">
        <f>IF(N(E401)&gt;0,N(E401),H401)</f>
        <v>0</v>
      </c>
      <c r="J401" s="320">
        <f>I401*IF(N('Клеммы'!E16)&gt;0,N('Клеммы'!E16),N('Клеммы'!G16))</f>
        <v>0</v>
      </c>
      <c r="K401" s="320">
        <f>I401*IF(N('Клеммы'!F16)&gt;0,N('Клеммы'!F16),N('Клеммы'!G16))</f>
        <v>0</v>
      </c>
      <c r="L401" s="320">
        <f>N(L400)+(N(I401)&gt;0)</f>
        <v>0</v>
      </c>
    </row>
    <row r="402">
      <c r="A402" s="321" t="inlineStr">
        <is>
          <t xml:space="preserve">Клеммы</t>
        </is>
      </c>
      <c r="B402" s="314" t="str">
        <f>'Клеммы'!A17&amp;""</f>
        <v>LR 1-10-1,5</v>
      </c>
      <c r="C402" s="315" t="str">
        <f>'Клеммы'!B17&amp;""</f>
        <v>клемма кольцевая, диам. 10мм, сечение провода 1-1,5мм²</v>
      </c>
      <c r="D402" s="316" t="str">
        <f>IF('Клеммы'!H17="+","есть",IF('Клеммы'!H17="-","нет",""))</f>
        <v>есть</v>
      </c>
      <c r="E402" s="317"/>
      <c r="F402" s="318">
        <f>IF(N('Клеммы'!G17)&lt;=0,"по запросу",CHOOSE($K$3,IF(N('Клеммы'!E17)&gt;0,N('Клеммы'!E17),N('Клеммы'!G17)),IF(N('Клеммы'!F17)&gt;0,N('Клеммы'!F17),N('Клеммы'!G17)),N('Клеммы'!G17)))</f>
        <v>501.4</v>
      </c>
      <c r="G402" s="319" t="str">
        <f>IF(I402&lt;=0,"",IF(ISNUMBER(F402),I402*F402,"по запросу"))</f>
        <v/>
      </c>
      <c r="H402" s="320">
        <f>N('Клеммы'!I17)</f>
        <v>0</v>
      </c>
      <c r="I402" s="320">
        <f>IF(N(E402)&gt;0,N(E402),H402)</f>
        <v>0</v>
      </c>
      <c r="J402" s="320">
        <f>I402*IF(N('Клеммы'!E17)&gt;0,N('Клеммы'!E17),N('Клеммы'!G17))</f>
        <v>0</v>
      </c>
      <c r="K402" s="320">
        <f>I402*IF(N('Клеммы'!F17)&gt;0,N('Клеммы'!F17),N('Клеммы'!G17))</f>
        <v>0</v>
      </c>
      <c r="L402" s="320">
        <f>N(L401)+(N(I402)&gt;0)</f>
        <v>0</v>
      </c>
    </row>
    <row r="403">
      <c r="A403" s="321" t="inlineStr">
        <is>
          <t xml:space="preserve">Клеммы</t>
        </is>
      </c>
      <c r="B403" s="314" t="str">
        <f>'Клеммы'!A18&amp;""</f>
        <v>LR 2-5-2,5</v>
      </c>
      <c r="C403" s="315" t="str">
        <f>'Клеммы'!B18&amp;""</f>
        <v>клемма кольцевая, диам. 5мм, сечение провода 1,5-2,5мм²</v>
      </c>
      <c r="D403" s="316" t="str">
        <f>IF('Клеммы'!H18="+","есть",IF('Клеммы'!H18="-","нет",""))</f>
        <v>есть</v>
      </c>
      <c r="E403" s="317"/>
      <c r="F403" s="318">
        <f>IF(N('Клеммы'!G18)&lt;=0,"по запросу",CHOOSE($K$3,IF(N('Клеммы'!E18)&gt;0,N('Клеммы'!E18),N('Клеммы'!G18)),IF(N('Клеммы'!F18)&gt;0,N('Клеммы'!F18),N('Клеммы'!G18)),N('Клеммы'!G18)))</f>
        <v>353.7</v>
      </c>
      <c r="G403" s="319" t="str">
        <f>IF(I403&lt;=0,"",IF(ISNUMBER(F403),I403*F403,"по запросу"))</f>
        <v/>
      </c>
      <c r="H403" s="320">
        <f>N('Клеммы'!I18)</f>
        <v>0</v>
      </c>
      <c r="I403" s="320">
        <f>IF(N(E403)&gt;0,N(E403),H403)</f>
        <v>0</v>
      </c>
      <c r="J403" s="320">
        <f>I403*IF(N('Клеммы'!E18)&gt;0,N('Клеммы'!E18),N('Клеммы'!G18))</f>
        <v>0</v>
      </c>
      <c r="K403" s="320">
        <f>I403*IF(N('Клеммы'!F18)&gt;0,N('Клеммы'!F18),N('Клеммы'!G18))</f>
        <v>0</v>
      </c>
      <c r="L403" s="320">
        <f>N(L402)+(N(I403)&gt;0)</f>
        <v>0</v>
      </c>
    </row>
    <row r="404">
      <c r="A404" s="321" t="inlineStr">
        <is>
          <t xml:space="preserve">Клеммы</t>
        </is>
      </c>
      <c r="B404" s="314" t="str">
        <f>'Клеммы'!A19&amp;""</f>
        <v>LR 2-6-2,5</v>
      </c>
      <c r="C404" s="315" t="str">
        <f>'Клеммы'!B19&amp;""</f>
        <v>клемма кольцевая, диам. 6мм, сечение провода 1,5-2,5мм²</v>
      </c>
      <c r="D404" s="316" t="str">
        <f>IF('Клеммы'!H19="+","есть",IF('Клеммы'!H19="-","нет",""))</f>
        <v>есть</v>
      </c>
      <c r="E404" s="317"/>
      <c r="F404" s="318">
        <f>IF(N('Клеммы'!G19)&lt;=0,"по запросу",CHOOSE($K$3,IF(N('Клеммы'!E19)&gt;0,N('Клеммы'!E19),N('Клеммы'!G19)),IF(N('Клеммы'!F19)&gt;0,N('Клеммы'!F19),N('Клеммы'!G19)),N('Клеммы'!G19)))</f>
        <v>392.9</v>
      </c>
      <c r="G404" s="319" t="str">
        <f>IF(I404&lt;=0,"",IF(ISNUMBER(F404),I404*F404,"по запросу"))</f>
        <v/>
      </c>
      <c r="H404" s="320">
        <f>N('Клеммы'!I19)</f>
        <v>0</v>
      </c>
      <c r="I404" s="320">
        <f>IF(N(E404)&gt;0,N(E404),H404)</f>
        <v>0</v>
      </c>
      <c r="J404" s="320">
        <f>I404*IF(N('Клеммы'!E19)&gt;0,N('Клеммы'!E19),N('Клеммы'!G19))</f>
        <v>0</v>
      </c>
      <c r="K404" s="320">
        <f>I404*IF(N('Клеммы'!F19)&gt;0,N('Клеммы'!F19),N('Клеммы'!G19))</f>
        <v>0</v>
      </c>
      <c r="L404" s="320">
        <f>N(L403)+(N(I404)&gt;0)</f>
        <v>0</v>
      </c>
    </row>
    <row r="405">
      <c r="A405" s="321" t="inlineStr">
        <is>
          <t xml:space="preserve">Клеммы</t>
        </is>
      </c>
      <c r="B405" s="314" t="str">
        <f>'Клеммы'!A20&amp;""</f>
        <v>LR 4-6-4,0</v>
      </c>
      <c r="C405" s="315" t="str">
        <f>'Клеммы'!B20&amp;""</f>
        <v>клемма кольцевая, диам. 6мм, сечение провода 2,5-4,0мм²</v>
      </c>
      <c r="D405" s="316" t="str">
        <f>IF('Клеммы'!H20="+","есть",IF('Клеммы'!H20="-","нет",""))</f>
        <v>есть</v>
      </c>
      <c r="E405" s="317"/>
      <c r="F405" s="318">
        <f>IF(N('Клеммы'!G20)&lt;=0,"по запросу",CHOOSE($K$3,IF(N('Клеммы'!E20)&gt;0,N('Клеммы'!E20),N('Клеммы'!G20)),IF(N('Клеммы'!F20)&gt;0,N('Клеммы'!F20),N('Клеммы'!G20)),N('Клеммы'!G20)))</f>
        <v>432.4</v>
      </c>
      <c r="G405" s="319" t="str">
        <f>IF(I405&lt;=0,"",IF(ISNUMBER(F405),I405*F405,"по запросу"))</f>
        <v/>
      </c>
      <c r="H405" s="320">
        <f>N('Клеммы'!I20)</f>
        <v>0</v>
      </c>
      <c r="I405" s="320">
        <f>IF(N(E405)&gt;0,N(E405),H405)</f>
        <v>0</v>
      </c>
      <c r="J405" s="320">
        <f>I405*IF(N('Клеммы'!E20)&gt;0,N('Клеммы'!E20),N('Клеммы'!G20))</f>
        <v>0</v>
      </c>
      <c r="K405" s="320">
        <f>I405*IF(N('Клеммы'!F20)&gt;0,N('Клеммы'!F20),N('Клеммы'!G20))</f>
        <v>0</v>
      </c>
      <c r="L405" s="320">
        <f>N(L404)+(N(I405)&gt;0)</f>
        <v>0</v>
      </c>
    </row>
    <row r="406">
      <c r="A406" s="321" t="inlineStr">
        <is>
          <t xml:space="preserve">Клеммы</t>
        </is>
      </c>
      <c r="B406" s="314" t="str">
        <f>'Клеммы'!A21&amp;""</f>
        <v>LR 1-5Z-1,5</v>
      </c>
      <c r="C406" s="315" t="str">
        <f>'Клеммы'!B21&amp;""</f>
        <v>клемма кольцевая, диам. 5мм, отверстие "звездочка", сечение провода 1-1,5мм²</v>
      </c>
      <c r="D406" s="316" t="str">
        <f>IF('Клеммы'!H21="+","есть",IF('Клеммы'!H21="-","нет",""))</f>
        <v>нет</v>
      </c>
      <c r="E406" s="317"/>
      <c r="F406" s="318">
        <f>IF(N('Клеммы'!G21)&lt;=0,"по запросу",CHOOSE($K$3,IF(N('Клеммы'!E21)&gt;0,N('Клеммы'!E21),N('Клеммы'!G21)),IF(N('Клеммы'!F21)&gt;0,N('Клеммы'!F21),N('Клеммы'!G21)),N('Клеммы'!G21)))</f>
        <v>501.4</v>
      </c>
      <c r="G406" s="319" t="str">
        <f>IF(I406&lt;=0,"",IF(ISNUMBER(F406),I406*F406,"по запросу"))</f>
        <v/>
      </c>
      <c r="H406" s="320">
        <f>N('Клеммы'!I21)</f>
        <v>0</v>
      </c>
      <c r="I406" s="320">
        <f>IF(N(E406)&gt;0,N(E406),H406)</f>
        <v>0</v>
      </c>
      <c r="J406" s="320">
        <f>I406*IF(N('Клеммы'!E21)&gt;0,N('Клеммы'!E21),N('Клеммы'!G21))</f>
        <v>0</v>
      </c>
      <c r="K406" s="320">
        <f>I406*IF(N('Клеммы'!F21)&gt;0,N('Клеммы'!F21),N('Клеммы'!G21))</f>
        <v>0</v>
      </c>
      <c r="L406" s="320">
        <f>N(L405)+(N(I406)&gt;0)</f>
        <v>0</v>
      </c>
    </row>
    <row r="407" ht="20" customHeight="1">
      <c r="A407" s="321" t="inlineStr">
        <is>
          <t xml:space="preserve">Клеммы</t>
        </is>
      </c>
      <c r="B407" s="312" t="inlineStr">
        <is>
          <t xml:space="preserve">Кольцевые в изоляции vinyl, 100 шт.</t>
        </is>
      </c>
      <c r="L407" s="320">
        <f>N(L406)+(N(I407)&gt;0)</f>
        <v>0</v>
      </c>
    </row>
    <row r="408">
      <c r="A408" s="321" t="inlineStr">
        <is>
          <t xml:space="preserve">Клеммы</t>
        </is>
      </c>
      <c r="B408" s="314" t="str">
        <f>'Клеммы'!A23&amp;""</f>
        <v>RV 1-3,2</v>
      </c>
      <c r="C408" s="315" t="str">
        <f>'Клеммы'!B23&amp;""</f>
        <v>диам. 3,2мм, 0,5-1,5мм²     </v>
      </c>
      <c r="D408" s="316" t="str">
        <f>IF('Клеммы'!H23="+","есть",IF('Клеммы'!H23="-","нет",""))</f>
        <v>есть</v>
      </c>
      <c r="E408" s="317"/>
      <c r="F408" s="318">
        <f>IF(N('Клеммы'!G23)&lt;=0,"по запросу",CHOOSE($K$3,IF(N('Клеммы'!E23)&gt;0,N('Клеммы'!E23),N('Клеммы'!G23)),IF(N('Клеммы'!F23)&gt;0,N('Клеммы'!F23),N('Клеммы'!G23)),N('Клеммы'!G23)))</f>
        <v>383.4</v>
      </c>
      <c r="G408" s="319" t="str">
        <f>IF(I408&lt;=0,"",IF(ISNUMBER(F408),I408*F408,"по запросу"))</f>
        <v/>
      </c>
      <c r="H408" s="320">
        <f>N('Клеммы'!I23)</f>
        <v>0</v>
      </c>
      <c r="I408" s="320">
        <f>IF(N(E408)&gt;0,N(E408),H408)</f>
        <v>0</v>
      </c>
      <c r="J408" s="320">
        <f>I408*IF(N('Клеммы'!E23)&gt;0,N('Клеммы'!E23),N('Клеммы'!G23))</f>
        <v>0</v>
      </c>
      <c r="K408" s="320">
        <f>I408*IF(N('Клеммы'!F23)&gt;0,N('Клеммы'!F23),N('Клеммы'!G23))</f>
        <v>0</v>
      </c>
      <c r="L408" s="320">
        <f>N(L407)+(N(I408)&gt;0)</f>
        <v>0</v>
      </c>
    </row>
    <row r="409">
      <c r="A409" s="321" t="inlineStr">
        <is>
          <t xml:space="preserve">Клеммы</t>
        </is>
      </c>
      <c r="B409" s="314" t="str">
        <f>'Клеммы'!A24&amp;""</f>
        <v>RV  1-4</v>
      </c>
      <c r="C409" s="315" t="str">
        <f>'Клеммы'!B24&amp;""</f>
        <v>диам. 4,3мм, 0,5-1,5мм²                                                                      </v>
      </c>
      <c r="D409" s="316" t="str">
        <f>IF('Клеммы'!H24="+","есть",IF('Клеммы'!H24="-","нет",""))</f>
        <v>есть</v>
      </c>
      <c r="E409" s="317"/>
      <c r="F409" s="318">
        <f>IF(N('Клеммы'!G24)&lt;=0,"по запросу",CHOOSE($K$3,IF(N('Клеммы'!E24)&gt;0,N('Клеммы'!E24),N('Клеммы'!G24)),IF(N('Клеммы'!F24)&gt;0,N('Клеммы'!F24),N('Клеммы'!G24)),N('Клеммы'!G24)))</f>
        <v>338.3</v>
      </c>
      <c r="G409" s="319" t="str">
        <f>IF(I409&lt;=0,"",IF(ISNUMBER(F409),I409*F409,"по запросу"))</f>
        <v/>
      </c>
      <c r="H409" s="320">
        <f>N('Клеммы'!I24)</f>
        <v>0</v>
      </c>
      <c r="I409" s="320">
        <f>IF(N(E409)&gt;0,N(E409),H409)</f>
        <v>0</v>
      </c>
      <c r="J409" s="320">
        <f>I409*IF(N('Клеммы'!E24)&gt;0,N('Клеммы'!E24),N('Клеммы'!G24))</f>
        <v>0</v>
      </c>
      <c r="K409" s="320">
        <f>I409*IF(N('Клеммы'!F24)&gt;0,N('Клеммы'!F24),N('Клеммы'!G24))</f>
        <v>0</v>
      </c>
      <c r="L409" s="320">
        <f>N(L408)+(N(I409)&gt;0)</f>
        <v>0</v>
      </c>
    </row>
    <row r="410">
      <c r="A410" s="321" t="inlineStr">
        <is>
          <t xml:space="preserve">Клеммы</t>
        </is>
      </c>
      <c r="B410" s="314" t="str">
        <f>'Клеммы'!A25&amp;""</f>
        <v>RV  1-5</v>
      </c>
      <c r="C410" s="315" t="str">
        <f>'Клеммы'!B25&amp;""</f>
        <v>диам. 5,3мм, 0,5-1,5мм²</v>
      </c>
      <c r="D410" s="316" t="str">
        <f>IF('Клеммы'!H25="+","есть",IF('Клеммы'!H25="-","нет",""))</f>
        <v>есть</v>
      </c>
      <c r="E410" s="317"/>
      <c r="F410" s="318">
        <f>IF(N('Клеммы'!G25)&lt;=0,"по запросу",CHOOSE($K$3,IF(N('Клеммы'!E25)&gt;0,N('Клеммы'!E25),N('Клеммы'!G25)),IF(N('Клеммы'!F25)&gt;0,N('Клеммы'!F25),N('Клеммы'!G25)),N('Клеммы'!G25)))</f>
        <v>383.4</v>
      </c>
      <c r="G410" s="319" t="str">
        <f>IF(I410&lt;=0,"",IF(ISNUMBER(F410),I410*F410,"по запросу"))</f>
        <v/>
      </c>
      <c r="H410" s="320">
        <f>N('Клеммы'!I25)</f>
        <v>0</v>
      </c>
      <c r="I410" s="320">
        <f>IF(N(E410)&gt;0,N(E410),H410)</f>
        <v>0</v>
      </c>
      <c r="J410" s="320">
        <f>I410*IF(N('Клеммы'!E25)&gt;0,N('Клеммы'!E25),N('Клеммы'!G25))</f>
        <v>0</v>
      </c>
      <c r="K410" s="320">
        <f>I410*IF(N('Клеммы'!F25)&gt;0,N('Клеммы'!F25),N('Клеммы'!G25))</f>
        <v>0</v>
      </c>
      <c r="L410" s="320">
        <f>N(L409)+(N(I410)&gt;0)</f>
        <v>0</v>
      </c>
    </row>
    <row r="411">
      <c r="A411" s="321" t="inlineStr">
        <is>
          <t xml:space="preserve">Клеммы</t>
        </is>
      </c>
      <c r="B411" s="314" t="str">
        <f>'Клеммы'!A26&amp;""</f>
        <v>RV 1-6</v>
      </c>
      <c r="C411" s="315" t="str">
        <f>'Клеммы'!B26&amp;""</f>
        <v>диам. 6,4мм, 0,5-1,5мм²</v>
      </c>
      <c r="D411" s="316" t="str">
        <f>IF('Клеммы'!H26="+","есть",IF('Клеммы'!H26="-","нет",""))</f>
        <v>есть</v>
      </c>
      <c r="E411" s="317"/>
      <c r="F411" s="318">
        <f>IF(N('Клеммы'!G26)&lt;=0,"по запросу",CHOOSE($K$3,IF(N('Клеммы'!E26)&gt;0,N('Клеммы'!E26),N('Клеммы'!G26)),IF(N('Клеммы'!F26)&gt;0,N('Клеммы'!F26),N('Клеммы'!G26)),N('Клеммы'!G26)))</f>
        <v>583.6</v>
      </c>
      <c r="G411" s="319" t="str">
        <f>IF(I411&lt;=0,"",IF(ISNUMBER(F411),I411*F411,"по запросу"))</f>
        <v/>
      </c>
      <c r="H411" s="320">
        <f>N('Клеммы'!I26)</f>
        <v>0</v>
      </c>
      <c r="I411" s="320">
        <f>IF(N(E411)&gt;0,N(E411),H411)</f>
        <v>0</v>
      </c>
      <c r="J411" s="320">
        <f>I411*IF(N('Клеммы'!E26)&gt;0,N('Клеммы'!E26),N('Клеммы'!G26))</f>
        <v>0</v>
      </c>
      <c r="K411" s="320">
        <f>I411*IF(N('Клеммы'!F26)&gt;0,N('Клеммы'!F26),N('Клеммы'!G26))</f>
        <v>0</v>
      </c>
      <c r="L411" s="320">
        <f>N(L410)+(N(I411)&gt;0)</f>
        <v>0</v>
      </c>
    </row>
    <row r="412">
      <c r="A412" s="321" t="inlineStr">
        <is>
          <t xml:space="preserve">Клеммы</t>
        </is>
      </c>
      <c r="B412" s="314" t="str">
        <f>'Клеммы'!A27&amp;""</f>
        <v>RV 1-8</v>
      </c>
      <c r="C412" s="315" t="str">
        <f>'Клеммы'!B27&amp;""</f>
        <v>диам. 8,4мм, 0,5-1,5мм²    </v>
      </c>
      <c r="D412" s="316" t="str">
        <f>IF('Клеммы'!H27="+","есть",IF('Клеммы'!H27="-","нет",""))</f>
        <v>есть</v>
      </c>
      <c r="E412" s="317"/>
      <c r="F412" s="318">
        <f>IF(N('Клеммы'!G27)&lt;=0,"по запросу",CHOOSE($K$3,IF(N('Клеммы'!E27)&gt;0,N('Клеммы'!E27),N('Клеммы'!G27)),IF(N('Клеммы'!F27)&gt;0,N('Клеммы'!F27),N('Клеммы'!G27)),N('Клеммы'!G27)))</f>
        <v>720.6</v>
      </c>
      <c r="G412" s="319" t="str">
        <f>IF(I412&lt;=0,"",IF(ISNUMBER(F412),I412*F412,"по запросу"))</f>
        <v/>
      </c>
      <c r="H412" s="320">
        <f>N('Клеммы'!I27)</f>
        <v>0</v>
      </c>
      <c r="I412" s="320">
        <f>IF(N(E412)&gt;0,N(E412),H412)</f>
        <v>0</v>
      </c>
      <c r="J412" s="320">
        <f>I412*IF(N('Клеммы'!E27)&gt;0,N('Клеммы'!E27),N('Клеммы'!G27))</f>
        <v>0</v>
      </c>
      <c r="K412" s="320">
        <f>I412*IF(N('Клеммы'!F27)&gt;0,N('Клеммы'!F27),N('Клеммы'!G27))</f>
        <v>0</v>
      </c>
      <c r="L412" s="320">
        <f>N(L411)+(N(I412)&gt;0)</f>
        <v>0</v>
      </c>
    </row>
    <row r="413">
      <c r="A413" s="321" t="inlineStr">
        <is>
          <t xml:space="preserve">Клеммы</t>
        </is>
      </c>
      <c r="B413" s="314" t="str">
        <f>'Клеммы'!A28&amp;""</f>
        <v>RV 1-10</v>
      </c>
      <c r="C413" s="315" t="str">
        <f>'Клеммы'!B28&amp;""</f>
        <v>диам. 10,5мм, 0,5-1,5мм²</v>
      </c>
      <c r="D413" s="316" t="str">
        <f>IF('Клеммы'!H28="+","есть",IF('Клеммы'!H28="-","нет",""))</f>
        <v>есть</v>
      </c>
      <c r="E413" s="317"/>
      <c r="F413" s="318">
        <f>IF(N('Клеммы'!G28)&lt;=0,"по запросу",CHOOSE($K$3,IF(N('Клеммы'!E28)&gt;0,N('Клеммы'!E28),N('Клеммы'!G28)),IF(N('Клеммы'!F28)&gt;0,N('Клеммы'!F28),N('Клеммы'!G28)),N('Клеммы'!G28)))</f>
        <v>881.2</v>
      </c>
      <c r="G413" s="319" t="str">
        <f>IF(I413&lt;=0,"",IF(ISNUMBER(F413),I413*F413,"по запросу"))</f>
        <v/>
      </c>
      <c r="H413" s="320">
        <f>N('Клеммы'!I28)</f>
        <v>0</v>
      </c>
      <c r="I413" s="320">
        <f>IF(N(E413)&gt;0,N(E413),H413)</f>
        <v>0</v>
      </c>
      <c r="J413" s="320">
        <f>I413*IF(N('Клеммы'!E28)&gt;0,N('Клеммы'!E28),N('Клеммы'!G28))</f>
        <v>0</v>
      </c>
      <c r="K413" s="320">
        <f>I413*IF(N('Клеммы'!F28)&gt;0,N('Клеммы'!F28),N('Клеммы'!G28))</f>
        <v>0</v>
      </c>
      <c r="L413" s="320">
        <f>N(L412)+(N(I413)&gt;0)</f>
        <v>0</v>
      </c>
    </row>
    <row r="414">
      <c r="A414" s="321" t="inlineStr">
        <is>
          <t xml:space="preserve">Клеммы</t>
        </is>
      </c>
      <c r="B414" s="314" t="str">
        <f>'Клеммы'!A29&amp;""</f>
        <v>RV 1-12</v>
      </c>
      <c r="C414" s="315" t="str">
        <f>'Клеммы'!B29&amp;""</f>
        <v>диам. 12,3мм, 0,5-1,5мм²</v>
      </c>
      <c r="D414" s="316" t="str">
        <f>IF('Клеммы'!H29="+","есть",IF('Клеммы'!H29="-","нет",""))</f>
        <v>есть</v>
      </c>
      <c r="E414" s="317"/>
      <c r="F414" s="318">
        <f>IF(N('Клеммы'!G29)&lt;=0,"по запросу",CHOOSE($K$3,IF(N('Клеммы'!E29)&gt;0,N('Клеммы'!E29),N('Клеммы'!G29)),IF(N('Клеммы'!F29)&gt;0,N('Клеммы'!F29),N('Клеммы'!G29)),N('Клеммы'!G29)))</f>
        <v>1300.5</v>
      </c>
      <c r="G414" s="319" t="str">
        <f>IF(I414&lt;=0,"",IF(ISNUMBER(F414),I414*F414,"по запросу"))</f>
        <v/>
      </c>
      <c r="H414" s="320">
        <f>N('Клеммы'!I29)</f>
        <v>0</v>
      </c>
      <c r="I414" s="320">
        <f>IF(N(E414)&gt;0,N(E414),H414)</f>
        <v>0</v>
      </c>
      <c r="J414" s="320">
        <f>I414*IF(N('Клеммы'!E29)&gt;0,N('Клеммы'!E29),N('Клеммы'!G29))</f>
        <v>0</v>
      </c>
      <c r="K414" s="320">
        <f>I414*IF(N('Клеммы'!F29)&gt;0,N('Клеммы'!F29),N('Клеммы'!G29))</f>
        <v>0</v>
      </c>
      <c r="L414" s="320">
        <f>N(L413)+(N(I414)&gt;0)</f>
        <v>0</v>
      </c>
    </row>
    <row r="415">
      <c r="A415" s="321" t="inlineStr">
        <is>
          <t xml:space="preserve">Клеммы</t>
        </is>
      </c>
      <c r="B415" s="314" t="str">
        <f>'Клеммы'!A30&amp;""</f>
        <v>RV M 2-3,7</v>
      </c>
      <c r="C415" s="315" t="str">
        <f>'Клеммы'!B30&amp;""</f>
        <v>диам. 3,7мм, 1,5-2,5мм²</v>
      </c>
      <c r="D415" s="316" t="str">
        <f>IF('Клеммы'!H30="+","есть",IF('Клеммы'!H30="-","нет",""))</f>
        <v>нет</v>
      </c>
      <c r="E415" s="317"/>
      <c r="F415" s="318">
        <f>IF(N('Клеммы'!G30)&lt;=0,"по запросу",CHOOSE($K$3,IF(N('Клеммы'!E30)&gt;0,N('Клеммы'!E30),N('Клеммы'!G30)),IF(N('Клеммы'!F30)&gt;0,N('Клеммы'!F30),N('Клеммы'!G30)),N('Клеммы'!G30)))</f>
        <v>389.4</v>
      </c>
      <c r="G415" s="319" t="str">
        <f>IF(I415&lt;=0,"",IF(ISNUMBER(F415),I415*F415,"по запросу"))</f>
        <v/>
      </c>
      <c r="H415" s="320">
        <f>N('Клеммы'!I30)</f>
        <v>0</v>
      </c>
      <c r="I415" s="320">
        <f>IF(N(E415)&gt;0,N(E415),H415)</f>
        <v>0</v>
      </c>
      <c r="J415" s="320">
        <f>I415*IF(N('Клеммы'!E30)&gt;0,N('Клеммы'!E30),N('Клеммы'!G30))</f>
        <v>0</v>
      </c>
      <c r="K415" s="320">
        <f>I415*IF(N('Клеммы'!F30)&gt;0,N('Клеммы'!F30),N('Клеммы'!G30))</f>
        <v>0</v>
      </c>
      <c r="L415" s="320">
        <f>N(L414)+(N(I415)&gt;0)</f>
        <v>0</v>
      </c>
    </row>
    <row r="416">
      <c r="A416" s="321" t="inlineStr">
        <is>
          <t xml:space="preserve">Клеммы</t>
        </is>
      </c>
      <c r="B416" s="314" t="str">
        <f>'Клеммы'!A31&amp;""</f>
        <v>RV 2-5</v>
      </c>
      <c r="C416" s="315" t="str">
        <f>'Клеммы'!B31&amp;""</f>
        <v>диам. 5мм, 1,5-2,5мм²</v>
      </c>
      <c r="D416" s="316" t="str">
        <f>IF('Клеммы'!H31="+","есть",IF('Клеммы'!H31="-","нет",""))</f>
        <v>есть</v>
      </c>
      <c r="E416" s="317"/>
      <c r="F416" s="318">
        <f>IF(N('Клеммы'!G31)&lt;=0,"по запросу",CHOOSE($K$3,IF(N('Клеммы'!E31)&gt;0,N('Клеммы'!E31),N('Клеммы'!G31)),IF(N('Клеммы'!F31)&gt;0,N('Клеммы'!F31),N('Клеммы'!G31)),N('Клеммы'!G31)))</f>
        <v>501.4</v>
      </c>
      <c r="G416" s="319" t="str">
        <f>IF(I416&lt;=0,"",IF(ISNUMBER(F416),I416*F416,"по запросу"))</f>
        <v/>
      </c>
      <c r="H416" s="320">
        <f>N('Клеммы'!I31)</f>
        <v>0</v>
      </c>
      <c r="I416" s="320">
        <f>IF(N(E416)&gt;0,N(E416),H416)</f>
        <v>0</v>
      </c>
      <c r="J416" s="320">
        <f>I416*IF(N('Клеммы'!E31)&gt;0,N('Клеммы'!E31),N('Клеммы'!G31))</f>
        <v>0</v>
      </c>
      <c r="K416" s="320">
        <f>I416*IF(N('Клеммы'!F31)&gt;0,N('Клеммы'!F31),N('Клеммы'!G31))</f>
        <v>0</v>
      </c>
      <c r="L416" s="320">
        <f>N(L415)+(N(I416)&gt;0)</f>
        <v>0</v>
      </c>
    </row>
    <row r="417">
      <c r="A417" s="321" t="inlineStr">
        <is>
          <t xml:space="preserve">Клеммы</t>
        </is>
      </c>
      <c r="B417" s="314" t="str">
        <f>'Клеммы'!A32&amp;""</f>
        <v>RV 2-6</v>
      </c>
      <c r="C417" s="315" t="str">
        <f>'Клеммы'!B32&amp;""</f>
        <v>диам. 6,4мм, 1,5-2,5мм²</v>
      </c>
      <c r="D417" s="316" t="str">
        <f>IF('Клеммы'!H32="+","есть",IF('Клеммы'!H32="-","нет",""))</f>
        <v>есть</v>
      </c>
      <c r="E417" s="317"/>
      <c r="F417" s="318">
        <f>IF(N('Клеммы'!G32)&lt;=0,"по запросу",CHOOSE($K$3,IF(N('Клеммы'!E32)&gt;0,N('Клеммы'!E32),N('Клеммы'!G32)),IF(N('Клеммы'!F32)&gt;0,N('Клеммы'!F32),N('Клеммы'!G32)),N('Клеммы'!G32)))</f>
        <v>663.3</v>
      </c>
      <c r="G417" s="319" t="str">
        <f>IF(I417&lt;=0,"",IF(ISNUMBER(F417),I417*F417,"по запросу"))</f>
        <v/>
      </c>
      <c r="H417" s="320">
        <f>N('Клеммы'!I32)</f>
        <v>0</v>
      </c>
      <c r="I417" s="320">
        <f>IF(N(E417)&gt;0,N(E417),H417)</f>
        <v>0</v>
      </c>
      <c r="J417" s="320">
        <f>I417*IF(N('Клеммы'!E32)&gt;0,N('Клеммы'!E32),N('Клеммы'!G32))</f>
        <v>0</v>
      </c>
      <c r="K417" s="320">
        <f>I417*IF(N('Клеммы'!F32)&gt;0,N('Клеммы'!F32),N('Клеммы'!G32))</f>
        <v>0</v>
      </c>
      <c r="L417" s="320">
        <f>N(L416)+(N(I417)&gt;0)</f>
        <v>0</v>
      </c>
    </row>
    <row r="418">
      <c r="A418" s="321" t="inlineStr">
        <is>
          <t xml:space="preserve">Клеммы</t>
        </is>
      </c>
      <c r="B418" s="314" t="str">
        <f>'Клеммы'!A33&amp;""</f>
        <v>RV 2-8</v>
      </c>
      <c r="C418" s="315" t="str">
        <f>'Клеммы'!B33&amp;""</f>
        <v>диам. 8,4мм , 1,5-2,5мм²                                                                  </v>
      </c>
      <c r="D418" s="316" t="str">
        <f>IF('Клеммы'!H33="+","есть",IF('Клеммы'!H33="-","нет",""))</f>
        <v>есть</v>
      </c>
      <c r="E418" s="317"/>
      <c r="F418" s="318">
        <f>IF(N('Клеммы'!G33)&lt;=0,"по запросу",CHOOSE($K$3,IF(N('Клеммы'!E33)&gt;0,N('Клеммы'!E33),N('Клеммы'!G33)),IF(N('Клеммы'!F33)&gt;0,N('Клеммы'!F33),N('Клеммы'!G33)),N('Клеммы'!G33)))</f>
        <v>823</v>
      </c>
      <c r="G418" s="319" t="str">
        <f>IF(I418&lt;=0,"",IF(ISNUMBER(F418),I418*F418,"по запросу"))</f>
        <v/>
      </c>
      <c r="H418" s="320">
        <f>N('Клеммы'!I33)</f>
        <v>0</v>
      </c>
      <c r="I418" s="320">
        <f>IF(N(E418)&gt;0,N(E418),H418)</f>
        <v>0</v>
      </c>
      <c r="J418" s="320">
        <f>I418*IF(N('Клеммы'!E33)&gt;0,N('Клеммы'!E33),N('Клеммы'!G33))</f>
        <v>0</v>
      </c>
      <c r="K418" s="320">
        <f>I418*IF(N('Клеммы'!F33)&gt;0,N('Клеммы'!F33),N('Клеммы'!G33))</f>
        <v>0</v>
      </c>
      <c r="L418" s="320">
        <f>N(L417)+(N(I418)&gt;0)</f>
        <v>0</v>
      </c>
    </row>
    <row r="419">
      <c r="A419" s="321" t="inlineStr">
        <is>
          <t xml:space="preserve">Клеммы</t>
        </is>
      </c>
      <c r="B419" s="314" t="str">
        <f>'Клеммы'!A34&amp;""</f>
        <v>RV 2-10</v>
      </c>
      <c r="C419" s="315" t="str">
        <f>'Клеммы'!B34&amp;""</f>
        <v>диам. 10,5мм, 1,5-2,5мм²</v>
      </c>
      <c r="D419" s="316" t="str">
        <f>IF('Клеммы'!H34="+","есть",IF('Клеммы'!H34="-","нет",""))</f>
        <v>есть</v>
      </c>
      <c r="E419" s="317"/>
      <c r="F419" s="318">
        <f>IF(N('Клеммы'!G34)&lt;=0,"по запросу",CHOOSE($K$3,IF(N('Клеммы'!E34)&gt;0,N('Клеммы'!E34),N('Клеммы'!G34)),IF(N('Клеммы'!F34)&gt;0,N('Клеммы'!F34),N('Клеммы'!G34)),N('Клеммы'!G34)))</f>
        <v>1154.1</v>
      </c>
      <c r="G419" s="319" t="str">
        <f>IF(I419&lt;=0,"",IF(ISNUMBER(F419),I419*F419,"по запросу"))</f>
        <v/>
      </c>
      <c r="H419" s="320">
        <f>N('Клеммы'!I34)</f>
        <v>0</v>
      </c>
      <c r="I419" s="320">
        <f>IF(N(E419)&gt;0,N(E419),H419)</f>
        <v>0</v>
      </c>
      <c r="J419" s="320">
        <f>I419*IF(N('Клеммы'!E34)&gt;0,N('Клеммы'!E34),N('Клеммы'!G34))</f>
        <v>0</v>
      </c>
      <c r="K419" s="320">
        <f>I419*IF(N('Клеммы'!F34)&gt;0,N('Клеммы'!F34),N('Клеммы'!G34))</f>
        <v>0</v>
      </c>
      <c r="L419" s="320">
        <f>N(L418)+(N(I419)&gt;0)</f>
        <v>0</v>
      </c>
    </row>
    <row r="420">
      <c r="A420" s="321" t="inlineStr">
        <is>
          <t xml:space="preserve">Клеммы</t>
        </is>
      </c>
      <c r="B420" s="314" t="str">
        <f>'Клеммы'!A35&amp;""</f>
        <v>RV 2-12</v>
      </c>
      <c r="C420" s="315" t="str">
        <f>'Клеммы'!B35&amp;""</f>
        <v>диам. 12мм , 1,5-2,5мм²                                                                 </v>
      </c>
      <c r="D420" s="316" t="str">
        <f>IF('Клеммы'!H35="+","есть",IF('Клеммы'!H35="-","нет",""))</f>
        <v>нет</v>
      </c>
      <c r="E420" s="317"/>
      <c r="F420" s="318">
        <f>IF(N('Клеммы'!G35)&lt;=0,"по запросу",CHOOSE($K$3,IF(N('Клеммы'!E35)&gt;0,N('Клеммы'!E35),N('Клеммы'!G35)),IF(N('Клеммы'!F35)&gt;0,N('Клеммы'!F35),N('Клеммы'!G35)),N('Клеммы'!G35)))</f>
        <v>1650.6</v>
      </c>
      <c r="G420" s="319" t="str">
        <f>IF(I420&lt;=0,"",IF(ISNUMBER(F420),I420*F420,"по запросу"))</f>
        <v/>
      </c>
      <c r="H420" s="320">
        <f>N('Клеммы'!I35)</f>
        <v>0</v>
      </c>
      <c r="I420" s="320">
        <f>IF(N(E420)&gt;0,N(E420),H420)</f>
        <v>0</v>
      </c>
      <c r="J420" s="320">
        <f>I420*IF(N('Клеммы'!E35)&gt;0,N('Клеммы'!E35),N('Клеммы'!G35))</f>
        <v>0</v>
      </c>
      <c r="K420" s="320">
        <f>I420*IF(N('Клеммы'!F35)&gt;0,N('Клеммы'!F35),N('Клеммы'!G35))</f>
        <v>0</v>
      </c>
      <c r="L420" s="320">
        <f>N(L419)+(N(I420)&gt;0)</f>
        <v>0</v>
      </c>
    </row>
    <row r="421">
      <c r="A421" s="321" t="inlineStr">
        <is>
          <t xml:space="preserve">Клеммы</t>
        </is>
      </c>
      <c r="B421" s="314" t="str">
        <f>'Клеммы'!A36&amp;""</f>
        <v>RVS 5-5</v>
      </c>
      <c r="C421" s="315" t="str">
        <f>'Клеммы'!B36&amp;""</f>
        <v>диам. 5,3мм , 4-6мм²                                                         </v>
      </c>
      <c r="D421" s="316" t="str">
        <f>IF('Клеммы'!H36="+","есть",IF('Клеммы'!H36="-","нет",""))</f>
        <v>есть</v>
      </c>
      <c r="E421" s="317"/>
      <c r="F421" s="318">
        <f>IF(N('Клеммы'!G36)&lt;=0,"по запросу",CHOOSE($K$3,IF(N('Клеммы'!E36)&gt;0,N('Клеммы'!E36),N('Клеммы'!G36)),IF(N('Клеммы'!F36)&gt;0,N('Клеммы'!F36),N('Клеммы'!G36)),N('Клеммы'!G36)))</f>
        <v>873.1</v>
      </c>
      <c r="G421" s="319" t="str">
        <f>IF(I421&lt;=0,"",IF(ISNUMBER(F421),I421*F421,"по запросу"))</f>
        <v/>
      </c>
      <c r="H421" s="320">
        <f>N('Клеммы'!I36)</f>
        <v>0</v>
      </c>
      <c r="I421" s="320">
        <f>IF(N(E421)&gt;0,N(E421),H421)</f>
        <v>0</v>
      </c>
      <c r="J421" s="320">
        <f>I421*IF(N('Клеммы'!E36)&gt;0,N('Клеммы'!E36),N('Клеммы'!G36))</f>
        <v>0</v>
      </c>
      <c r="K421" s="320">
        <f>I421*IF(N('Клеммы'!F36)&gt;0,N('Клеммы'!F36),N('Клеммы'!G36))</f>
        <v>0</v>
      </c>
      <c r="L421" s="320">
        <f>N(L420)+(N(I421)&gt;0)</f>
        <v>0</v>
      </c>
    </row>
    <row r="422">
      <c r="A422" s="321" t="inlineStr">
        <is>
          <t xml:space="preserve">Клеммы</t>
        </is>
      </c>
      <c r="B422" s="314" t="str">
        <f>'Клеммы'!A37&amp;""</f>
        <v>RV 5-6</v>
      </c>
      <c r="C422" s="315" t="str">
        <f>'Клеммы'!B37&amp;""</f>
        <v>диам. 6,4мм, 4-6мм²</v>
      </c>
      <c r="D422" s="316" t="str">
        <f>IF('Клеммы'!H37="+","есть",IF('Клеммы'!H37="-","нет",""))</f>
        <v>есть</v>
      </c>
      <c r="E422" s="317"/>
      <c r="F422" s="318">
        <f>IF(N('Клеммы'!G37)&lt;=0,"по запросу",CHOOSE($K$3,IF(N('Клеммы'!E37)&gt;0,N('Клеммы'!E37),N('Клеммы'!G37)),IF(N('Клеммы'!F37)&gt;0,N('Клеммы'!F37),N('Клеммы'!G37)),N('Клеммы'!G37)))</f>
        <v>1077.9</v>
      </c>
      <c r="G422" s="319" t="str">
        <f>IF(I422&lt;=0,"",IF(ISNUMBER(F422),I422*F422,"по запросу"))</f>
        <v/>
      </c>
      <c r="H422" s="320">
        <f>N('Клеммы'!I37)</f>
        <v>0</v>
      </c>
      <c r="I422" s="320">
        <f>IF(N(E422)&gt;0,N(E422),H422)</f>
        <v>0</v>
      </c>
      <c r="J422" s="320">
        <f>I422*IF(N('Клеммы'!E37)&gt;0,N('Клеммы'!E37),N('Клеммы'!G37))</f>
        <v>0</v>
      </c>
      <c r="K422" s="320">
        <f>I422*IF(N('Клеммы'!F37)&gt;0,N('Клеммы'!F37),N('Клеммы'!G37))</f>
        <v>0</v>
      </c>
      <c r="L422" s="320">
        <f>N(L421)+(N(I422)&gt;0)</f>
        <v>0</v>
      </c>
    </row>
    <row r="423">
      <c r="A423" s="321" t="inlineStr">
        <is>
          <t xml:space="preserve">Клеммы</t>
        </is>
      </c>
      <c r="B423" s="314" t="str">
        <f>'Клеммы'!A38&amp;""</f>
        <v>RV 5-8</v>
      </c>
      <c r="C423" s="315" t="str">
        <f>'Клеммы'!B38&amp;""</f>
        <v>диам. 8,4мм, 4-6мм²                                                      </v>
      </c>
      <c r="D423" s="316" t="str">
        <f>IF('Клеммы'!H38="+","есть",IF('Клеммы'!H38="-","нет",""))</f>
        <v>есть</v>
      </c>
      <c r="E423" s="317"/>
      <c r="F423" s="318">
        <f>IF(N('Клеммы'!G38)&lt;=0,"по запросу",CHOOSE($K$3,IF(N('Клеммы'!E38)&gt;0,N('Клеммы'!E38),N('Клеммы'!G38)),IF(N('Клеммы'!F38)&gt;0,N('Клеммы'!F38),N('Клеммы'!G38)),N('Клеммы'!G38)))</f>
        <v>1336.2</v>
      </c>
      <c r="G423" s="319" t="str">
        <f>IF(I423&lt;=0,"",IF(ISNUMBER(F423),I423*F423,"по запросу"))</f>
        <v/>
      </c>
      <c r="H423" s="320">
        <f>N('Клеммы'!I38)</f>
        <v>0</v>
      </c>
      <c r="I423" s="320">
        <f>IF(N(E423)&gt;0,N(E423),H423)</f>
        <v>0</v>
      </c>
      <c r="J423" s="320">
        <f>I423*IF(N('Клеммы'!E38)&gt;0,N('Клеммы'!E38),N('Клеммы'!G38))</f>
        <v>0</v>
      </c>
      <c r="K423" s="320">
        <f>I423*IF(N('Клеммы'!F38)&gt;0,N('Клеммы'!F38),N('Клеммы'!G38))</f>
        <v>0</v>
      </c>
      <c r="L423" s="320">
        <f>N(L422)+(N(I423)&gt;0)</f>
        <v>0</v>
      </c>
    </row>
    <row r="424">
      <c r="A424" s="321" t="inlineStr">
        <is>
          <t xml:space="preserve">Клеммы</t>
        </is>
      </c>
      <c r="B424" s="314" t="str">
        <f>'Клеммы'!A39&amp;""</f>
        <v>RV 5-10</v>
      </c>
      <c r="C424" s="315" t="str">
        <f>'Клеммы'!B39&amp;""</f>
        <v>диам. 10,5мм, 4-6мм²</v>
      </c>
      <c r="D424" s="316" t="str">
        <f>IF('Клеммы'!H39="+","есть",IF('Клеммы'!H39="-","нет",""))</f>
        <v>есть</v>
      </c>
      <c r="E424" s="317"/>
      <c r="F424" s="318">
        <f>IF(N('Клеммы'!G39)&lt;=0,"по запросу",CHOOSE($K$3,IF(N('Клеммы'!E39)&gt;0,N('Клеммы'!E39),N('Клеммы'!G39)),IF(N('Клеммы'!F39)&gt;0,N('Клеммы'!F39),N('Клеммы'!G39)),N('Клеммы'!G39)))</f>
        <v>1641</v>
      </c>
      <c r="G424" s="319" t="str">
        <f>IF(I424&lt;=0,"",IF(ISNUMBER(F424),I424*F424,"по запросу"))</f>
        <v/>
      </c>
      <c r="H424" s="320">
        <f>N('Клеммы'!I39)</f>
        <v>0</v>
      </c>
      <c r="I424" s="320">
        <f>IF(N(E424)&gt;0,N(E424),H424)</f>
        <v>0</v>
      </c>
      <c r="J424" s="320">
        <f>I424*IF(N('Клеммы'!E39)&gt;0,N('Клеммы'!E39),N('Клеммы'!G39))</f>
        <v>0</v>
      </c>
      <c r="K424" s="320">
        <f>I424*IF(N('Клеммы'!F39)&gt;0,N('Клеммы'!F39),N('Клеммы'!G39))</f>
        <v>0</v>
      </c>
      <c r="L424" s="320">
        <f>N(L423)+(N(I424)&gt;0)</f>
        <v>0</v>
      </c>
    </row>
    <row r="425">
      <c r="A425" s="321" t="inlineStr">
        <is>
          <t xml:space="preserve">Клеммы</t>
        </is>
      </c>
      <c r="B425" s="314" t="str">
        <f>'Клеммы'!A40&amp;""</f>
        <v>RV 5-12</v>
      </c>
      <c r="C425" s="315" t="str">
        <f>'Клеммы'!B40&amp;""</f>
        <v>диам. 13мм, 4-6мм²</v>
      </c>
      <c r="D425" s="316" t="str">
        <f>IF('Клеммы'!H40="+","есть",IF('Клеммы'!H40="-","нет",""))</f>
        <v>есть</v>
      </c>
      <c r="E425" s="317"/>
      <c r="F425" s="318">
        <f>IF(N('Клеммы'!G40)&lt;=0,"по запросу",CHOOSE($K$3,IF(N('Клеммы'!E40)&gt;0,N('Клеммы'!E40),N('Клеммы'!G40)),IF(N('Клеммы'!F40)&gt;0,N('Клеммы'!F40),N('Клеммы'!G40)),N('Клеммы'!G40)))</f>
        <v>1986.5</v>
      </c>
      <c r="G425" s="319" t="str">
        <f>IF(I425&lt;=0,"",IF(ISNUMBER(F425),I425*F425,"по запросу"))</f>
        <v/>
      </c>
      <c r="H425" s="320">
        <f>N('Клеммы'!I40)</f>
        <v>0</v>
      </c>
      <c r="I425" s="320">
        <f>IF(N(E425)&gt;0,N(E425),H425)</f>
        <v>0</v>
      </c>
      <c r="J425" s="320">
        <f>I425*IF(N('Клеммы'!E40)&gt;0,N('Клеммы'!E40),N('Клеммы'!G40))</f>
        <v>0</v>
      </c>
      <c r="K425" s="320">
        <f>I425*IF(N('Клеммы'!F40)&gt;0,N('Клеммы'!F40),N('Клеммы'!G40))</f>
        <v>0</v>
      </c>
      <c r="L425" s="320">
        <f>N(L424)+(N(I425)&gt;0)</f>
        <v>0</v>
      </c>
    </row>
    <row r="426" ht="20" customHeight="1">
      <c r="A426" s="321" t="inlineStr">
        <is>
          <t xml:space="preserve">Клеммы</t>
        </is>
      </c>
      <c r="B426" s="312" t="inlineStr">
        <is>
          <t xml:space="preserve">Y-образные в изоляции vinyl, 100 шт.</t>
        </is>
      </c>
      <c r="L426" s="320">
        <f>N(L425)+(N(I426)&gt;0)</f>
        <v>0</v>
      </c>
    </row>
    <row r="427">
      <c r="A427" s="321" t="inlineStr">
        <is>
          <t xml:space="preserve">Клеммы</t>
        </is>
      </c>
      <c r="B427" s="314" t="str">
        <f>'Клеммы'!A42&amp;""</f>
        <v>SV 1-4</v>
      </c>
      <c r="C427" s="315" t="str">
        <f>'Клеммы'!B42&amp;""</f>
        <v>диам.4,3мм, 0,5-1,5мм²</v>
      </c>
      <c r="D427" s="316" t="str">
        <f>IF('Клеммы'!H42="+","есть",IF('Клеммы'!H42="-","нет",""))</f>
        <v>нет</v>
      </c>
      <c r="E427" s="317"/>
      <c r="F427" s="318">
        <f>IF(N('Клеммы'!G42)&lt;=0,"по запросу",CHOOSE($K$3,IF(N('Клеммы'!E42)&gt;0,N('Клеммы'!E42),N('Клеммы'!G42)),IF(N('Клеммы'!F42)&gt;0,N('Клеммы'!F42),N('Клеммы'!G42)),N('Клеммы'!G42)))</f>
        <v>328.7</v>
      </c>
      <c r="G427" s="319" t="str">
        <f>IF(I427&lt;=0,"",IF(ISNUMBER(F427),I427*F427,"по запросу"))</f>
        <v/>
      </c>
      <c r="H427" s="320">
        <f>N('Клеммы'!I42)</f>
        <v>0</v>
      </c>
      <c r="I427" s="320">
        <f>IF(N(E427)&gt;0,N(E427),H427)</f>
        <v>0</v>
      </c>
      <c r="J427" s="320">
        <f>I427*IF(N('Клеммы'!E42)&gt;0,N('Клеммы'!E42),N('Клеммы'!G42))</f>
        <v>0</v>
      </c>
      <c r="K427" s="320">
        <f>I427*IF(N('Клеммы'!F42)&gt;0,N('Клеммы'!F42),N('Клеммы'!G42))</f>
        <v>0</v>
      </c>
      <c r="L427" s="320">
        <f>N(L426)+(N(I427)&gt;0)</f>
        <v>0</v>
      </c>
    </row>
    <row r="428">
      <c r="A428" s="321" t="inlineStr">
        <is>
          <t xml:space="preserve">Клеммы</t>
        </is>
      </c>
      <c r="B428" s="314" t="str">
        <f>'Клеммы'!A43&amp;""</f>
        <v>SV 2-4</v>
      </c>
      <c r="C428" s="315" t="str">
        <f>'Клеммы'!B43&amp;""</f>
        <v>диам.4,3мм, 1,5-2,5мм²</v>
      </c>
      <c r="D428" s="316" t="str">
        <f>IF('Клеммы'!H43="+","есть",IF('Клеммы'!H43="-","нет",""))</f>
        <v>нет</v>
      </c>
      <c r="E428" s="317"/>
      <c r="F428" s="318">
        <f>IF(N('Клеммы'!G43)&lt;=0,"по запросу",CHOOSE($K$3,IF(N('Клеммы'!E43)&gt;0,N('Клеммы'!E43),N('Клеммы'!G43)),IF(N('Клеммы'!F43)&gt;0,N('Клеммы'!F43),N('Клеммы'!G43)),N('Клеммы'!G43)))</f>
        <v>370.4</v>
      </c>
      <c r="G428" s="319" t="str">
        <f>IF(I428&lt;=0,"",IF(ISNUMBER(F428),I428*F428,"по запросу"))</f>
        <v/>
      </c>
      <c r="H428" s="320">
        <f>N('Клеммы'!I43)</f>
        <v>0</v>
      </c>
      <c r="I428" s="320">
        <f>IF(N(E428)&gt;0,N(E428),H428)</f>
        <v>0</v>
      </c>
      <c r="J428" s="320">
        <f>I428*IF(N('Клеммы'!E43)&gt;0,N('Клеммы'!E43),N('Клеммы'!G43))</f>
        <v>0</v>
      </c>
      <c r="K428" s="320">
        <f>I428*IF(N('Клеммы'!F43)&gt;0,N('Клеммы'!F43),N('Клеммы'!G43))</f>
        <v>0</v>
      </c>
      <c r="L428" s="320">
        <f>N(L427)+(N(I428)&gt;0)</f>
        <v>0</v>
      </c>
    </row>
    <row r="429">
      <c r="A429" s="321" t="inlineStr">
        <is>
          <t xml:space="preserve">Клеммы</t>
        </is>
      </c>
      <c r="B429" s="314" t="str">
        <f>'Клеммы'!A44&amp;""</f>
        <v>SV 2-5</v>
      </c>
      <c r="C429" s="315" t="str">
        <f>'Клеммы'!B44&amp;""</f>
        <v>диам.5,3мм, 1,5-2,5мм²</v>
      </c>
      <c r="D429" s="316" t="str">
        <f>IF('Клеммы'!H44="+","есть",IF('Клеммы'!H44="-","нет",""))</f>
        <v>нет</v>
      </c>
      <c r="E429" s="317"/>
      <c r="F429" s="318">
        <f>IF(N('Клеммы'!G44)&lt;=0,"по запросу",CHOOSE($K$3,IF(N('Клеммы'!E44)&gt;0,N('Клеммы'!E44),N('Клеммы'!G44)),IF(N('Клеммы'!F44)&gt;0,N('Клеммы'!F44),N('Клеммы'!G44)),N('Клеммы'!G44)))</f>
        <v>505</v>
      </c>
      <c r="G429" s="319" t="str">
        <f>IF(I429&lt;=0,"",IF(ISNUMBER(F429),I429*F429,"по запросу"))</f>
        <v/>
      </c>
      <c r="H429" s="320">
        <f>N('Клеммы'!I44)</f>
        <v>0</v>
      </c>
      <c r="I429" s="320">
        <f>IF(N(E429)&gt;0,N(E429),H429)</f>
        <v>0</v>
      </c>
      <c r="J429" s="320">
        <f>I429*IF(N('Клеммы'!E44)&gt;0,N('Клеммы'!E44),N('Клеммы'!G44))</f>
        <v>0</v>
      </c>
      <c r="K429" s="320">
        <f>I429*IF(N('Клеммы'!F44)&gt;0,N('Клеммы'!F44),N('Клеммы'!G44))</f>
        <v>0</v>
      </c>
      <c r="L429" s="320">
        <f>N(L428)+(N(I429)&gt;0)</f>
        <v>0</v>
      </c>
    </row>
    <row r="430">
      <c r="A430" s="321" t="inlineStr">
        <is>
          <t xml:space="preserve">Клеммы</t>
        </is>
      </c>
      <c r="B430" s="314" t="str">
        <f>'Клеммы'!A45&amp;""</f>
        <v>SV 2-6</v>
      </c>
      <c r="C430" s="315" t="str">
        <f>'Клеммы'!B45&amp;""</f>
        <v>диам.6,5мм, 1,5-2,5мм²</v>
      </c>
      <c r="D430" s="316" t="str">
        <f>IF('Клеммы'!H45="+","есть",IF('Клеммы'!H45="-","нет",""))</f>
        <v>нет</v>
      </c>
      <c r="E430" s="317"/>
      <c r="F430" s="318">
        <f>IF(N('Клеммы'!G45)&lt;=0,"по запросу",CHOOSE($K$3,IF(N('Клеммы'!E45)&gt;0,N('Клеммы'!E45),N('Клеммы'!G45)),IF(N('Клеммы'!F45)&gt;0,N('Клеммы'!F45),N('Клеммы'!G45)),N('Клеммы'!G45)))</f>
        <v>755</v>
      </c>
      <c r="G430" s="319" t="str">
        <f>IF(I430&lt;=0,"",IF(ISNUMBER(F430),I430*F430,"по запросу"))</f>
        <v/>
      </c>
      <c r="H430" s="320">
        <f>N('Клеммы'!I45)</f>
        <v>0</v>
      </c>
      <c r="I430" s="320">
        <f>IF(N(E430)&gt;0,N(E430),H430)</f>
        <v>0</v>
      </c>
      <c r="J430" s="320">
        <f>I430*IF(N('Клеммы'!E45)&gt;0,N('Клеммы'!E45),N('Клеммы'!G45))</f>
        <v>0</v>
      </c>
      <c r="K430" s="320">
        <f>I430*IF(N('Клеммы'!F45)&gt;0,N('Клеммы'!F45),N('Клеммы'!G45))</f>
        <v>0</v>
      </c>
      <c r="L430" s="320">
        <f>N(L429)+(N(I430)&gt;0)</f>
        <v>0</v>
      </c>
    </row>
    <row r="431" ht="28" customHeight="1">
      <c r="A431" s="310" t="inlineStr">
        <is>
          <t xml:space="preserve">Коннекторы</t>
        </is>
      </c>
      <c r="B431" s="310"/>
      <c r="C431" s="310"/>
      <c r="D431" s="310"/>
      <c r="E431" s="310"/>
      <c r="F431" s="310"/>
      <c r="G431" s="310"/>
      <c r="L431" s="320">
        <f>N(L430)+(N(I431)&gt;0)</f>
        <v>0</v>
      </c>
    </row>
    <row r="432" ht="66" customHeight="1">
      <c r="A432" s="321" t="inlineStr">
        <is>
          <t xml:space="preserve">Коннекторы</t>
        </is>
      </c>
      <c r="C432" s="313" t="inlineStr">
        <is>
          <t xml:space="preserve">В связи с вступлением в силу требований по обязательной маркировке радиоэлектронной продукции (Постановление Правительства РФ № 1954) с 1 декабря 2026 г. — наступает запрет оборота немаркированной радиоэлектронной продукции. Все немаркированные остатки должны быть распроданы либо промаркированы. Товары код ТНВЭД 8536699008 и 8536901000</t>
        </is>
      </c>
      <c r="L432" s="320">
        <f>N(L431)+(N(I432)&gt;0)</f>
        <v>0</v>
      </c>
    </row>
    <row r="433" ht="42" customHeight="1">
      <c r="A433" s="321" t="inlineStr">
        <is>
          <t xml:space="preserve">Коннекторы</t>
        </is>
      </c>
      <c r="C433" s="313" t="inlineStr">
        <is>
          <t xml:space="preserve">С 1 мая 2026 года до 30 ноября 2026 года все участники оборота товаров могут начать маркировать остатки товаров, произведенных до 1 мая 2026 года (продажа и отгрузка немаркированных остатков до 01.12.2026 разрешены).</t>
        </is>
      </c>
      <c r="L433" s="320">
        <f>N(L432)+(N(I433)&gt;0)</f>
        <v>0</v>
      </c>
    </row>
    <row r="434" ht="24" customHeight="1">
      <c r="A434" s="321" t="inlineStr">
        <is>
          <t xml:space="preserve">Коннекторы</t>
        </is>
      </c>
      <c r="B434" s="311" t="inlineStr">
        <is>
          <t xml:space="preserve">КОННЕКТОРЫ И РАЗЪЕМЫ</t>
        </is>
      </c>
      <c r="L434" s="320">
        <f>N(L433)+(N(I434)&gt;0)</f>
        <v>0</v>
      </c>
    </row>
    <row r="435" ht="20" customHeight="1">
      <c r="A435" s="321" t="inlineStr">
        <is>
          <t xml:space="preserve">Коннекторы</t>
        </is>
      </c>
      <c r="B435" s="312" t="inlineStr">
        <is>
          <t xml:space="preserve">Разъемы "мама" в изоляции vinyl, 100 шт.</t>
        </is>
      </c>
      <c r="L435" s="320">
        <f>N(L434)+(N(I435)&gt;0)</f>
        <v>0</v>
      </c>
    </row>
    <row r="436">
      <c r="A436" s="321" t="inlineStr">
        <is>
          <t xml:space="preserve">Коннекторы</t>
        </is>
      </c>
      <c r="B436" s="314" t="str">
        <f>'Коннекторы'!A9&amp;""</f>
        <v>FDV 1-110(8)</v>
      </c>
      <c r="C436" s="315" t="str">
        <f>'Коннекторы'!B9&amp;""</f>
        <v>Входной размер 2,8 х0,8мм.0,5-1,5мм², красная изоляция</v>
      </c>
      <c r="D436" s="316" t="str">
        <f>IF('Коннекторы'!H9="+","есть",IF('Коннекторы'!H9="-","нет",""))</f>
        <v>есть</v>
      </c>
      <c r="E436" s="317"/>
      <c r="F436" s="318">
        <f>IF(N('Коннекторы'!G9)&lt;=0,"по запросу",CHOOSE($K$3,IF(N('Коннекторы'!E9)&gt;0,N('Коннекторы'!E9),N('Коннекторы'!G9)),IF(N('Коннекторы'!F9)&gt;0,N('Коннекторы'!F9),N('Коннекторы'!G9)),N('Коннекторы'!G9)))</f>
        <v>331</v>
      </c>
      <c r="G436" s="319" t="str">
        <f>IF(I436&lt;=0,"",IF(ISNUMBER(F436),I436*F436,"по запросу"))</f>
        <v/>
      </c>
      <c r="H436" s="320">
        <f>N('Коннекторы'!I9)</f>
        <v>0</v>
      </c>
      <c r="I436" s="320">
        <f>IF(N(E436)&gt;0,N(E436),H436)</f>
        <v>0</v>
      </c>
      <c r="J436" s="320">
        <f>I436*IF(N('Коннекторы'!E9)&gt;0,N('Коннекторы'!E9),N('Коннекторы'!G9))</f>
        <v>0</v>
      </c>
      <c r="K436" s="320">
        <f>I436*IF(N('Коннекторы'!F9)&gt;0,N('Коннекторы'!F9),N('Коннекторы'!G9))</f>
        <v>0</v>
      </c>
      <c r="L436" s="320">
        <f>N(L435)+(N(I436)&gt;0)</f>
        <v>0</v>
      </c>
    </row>
    <row r="437">
      <c r="A437" s="321" t="inlineStr">
        <is>
          <t xml:space="preserve">Коннекторы</t>
        </is>
      </c>
      <c r="B437" s="314" t="str">
        <f>'Коннекторы'!A10&amp;""</f>
        <v>FDV 1-187(8)</v>
      </c>
      <c r="C437" s="315" t="str">
        <f>'Коннекторы'!B10&amp;""</f>
        <v>Входной размер 4,75х0,8мм. 0,5-1,5мм², красная изоляция</v>
      </c>
      <c r="D437" s="316" t="str">
        <f>IF('Коннекторы'!H10="+","есть",IF('Коннекторы'!H10="-","нет",""))</f>
        <v>есть</v>
      </c>
      <c r="E437" s="317"/>
      <c r="F437" s="318">
        <f>IF(N('Коннекторы'!G10)&lt;=0,"по запросу",CHOOSE($K$3,IF(N('Коннекторы'!E10)&gt;0,N('Коннекторы'!E10),N('Коннекторы'!G10)),IF(N('Коннекторы'!F10)&gt;0,N('Коннекторы'!F10),N('Коннекторы'!G10)),N('Коннекторы'!G10)))</f>
        <v>409.7</v>
      </c>
      <c r="G437" s="319" t="str">
        <f>IF(I437&lt;=0,"",IF(ISNUMBER(F437),I437*F437,"по запросу"))</f>
        <v/>
      </c>
      <c r="H437" s="320">
        <f>N('Коннекторы'!I10)</f>
        <v>0</v>
      </c>
      <c r="I437" s="320">
        <f>IF(N(E437)&gt;0,N(E437),H437)</f>
        <v>0</v>
      </c>
      <c r="J437" s="320">
        <f>I437*IF(N('Коннекторы'!E10)&gt;0,N('Коннекторы'!E10),N('Коннекторы'!G10))</f>
        <v>0</v>
      </c>
      <c r="K437" s="320">
        <f>I437*IF(N('Коннекторы'!F10)&gt;0,N('Коннекторы'!F10),N('Коннекторы'!G10))</f>
        <v>0</v>
      </c>
      <c r="L437" s="320">
        <f>N(L436)+(N(I437)&gt;0)</f>
        <v>0</v>
      </c>
    </row>
    <row r="438">
      <c r="A438" s="321" t="inlineStr">
        <is>
          <t xml:space="preserve">Коннекторы</t>
        </is>
      </c>
      <c r="B438" s="314" t="str">
        <f>'Коннекторы'!A11&amp;""</f>
        <v>FDV 1-250</v>
      </c>
      <c r="C438" s="315" t="str">
        <f>'Коннекторы'!B11&amp;""</f>
        <v>Входной размер 6,4х0,8мм. 0,5-1,5мм², красная изоляция</v>
      </c>
      <c r="D438" s="316" t="str">
        <f>IF('Коннекторы'!H11="+","есть",IF('Коннекторы'!H11="-","нет",""))</f>
        <v>есть</v>
      </c>
      <c r="E438" s="317"/>
      <c r="F438" s="318">
        <f>IF(N('Коннекторы'!G11)&lt;=0,"по запросу",CHOOSE($K$3,IF(N('Коннекторы'!E11)&gt;0,N('Коннекторы'!E11),N('Коннекторы'!G11)),IF(N('Коннекторы'!F11)&gt;0,N('Коннекторы'!F11),N('Коннекторы'!G11)),N('Коннекторы'!G11)))</f>
        <v>491.8</v>
      </c>
      <c r="G438" s="319" t="str">
        <f>IF(I438&lt;=0,"",IF(ISNUMBER(F438),I438*F438,"по запросу"))</f>
        <v/>
      </c>
      <c r="H438" s="320">
        <f>N('Коннекторы'!I11)</f>
        <v>0</v>
      </c>
      <c r="I438" s="320">
        <f>IF(N(E438)&gt;0,N(E438),H438)</f>
        <v>0</v>
      </c>
      <c r="J438" s="320">
        <f>I438*IF(N('Коннекторы'!E11)&gt;0,N('Коннекторы'!E11),N('Коннекторы'!G11))</f>
        <v>0</v>
      </c>
      <c r="K438" s="320">
        <f>I438*IF(N('Коннекторы'!F11)&gt;0,N('Коннекторы'!F11),N('Коннекторы'!G11))</f>
        <v>0</v>
      </c>
      <c r="L438" s="320">
        <f>N(L437)+(N(I438)&gt;0)</f>
        <v>0</v>
      </c>
    </row>
    <row r="439">
      <c r="A439" s="321" t="inlineStr">
        <is>
          <t xml:space="preserve">Коннекторы</t>
        </is>
      </c>
      <c r="B439" s="314" t="str">
        <f>'Коннекторы'!A12&amp;""</f>
        <v>FDV 2-110</v>
      </c>
      <c r="C439" s="315" t="str">
        <f>'Коннекторы'!B12&amp;""</f>
        <v>Входной размер 2,8х0,8мм. 1,5-2,5мм²,  синяя изоляция</v>
      </c>
      <c r="D439" s="316" t="str">
        <f>IF('Коннекторы'!H12="+","есть",IF('Коннекторы'!H12="-","нет",""))</f>
        <v>нет</v>
      </c>
      <c r="E439" s="317"/>
      <c r="F439" s="318">
        <f>IF(N('Коннекторы'!G12)&lt;=0,"по запросу",CHOOSE($K$3,IF(N('Коннекторы'!E12)&gt;0,N('Коннекторы'!E12),N('Коннекторы'!G12)),IF(N('Коннекторы'!F12)&gt;0,N('Коннекторы'!F12),N('Коннекторы'!G12)),N('Коннекторы'!G12)))</f>
        <v>396.7</v>
      </c>
      <c r="G439" s="319" t="str">
        <f>IF(I439&lt;=0,"",IF(ISNUMBER(F439),I439*F439,"по запросу"))</f>
        <v/>
      </c>
      <c r="H439" s="320">
        <f>N('Коннекторы'!I12)</f>
        <v>0</v>
      </c>
      <c r="I439" s="320">
        <f>IF(N(E439)&gt;0,N(E439),H439)</f>
        <v>0</v>
      </c>
      <c r="J439" s="320">
        <f>I439*IF(N('Коннекторы'!E12)&gt;0,N('Коннекторы'!E12),N('Коннекторы'!G12))</f>
        <v>0</v>
      </c>
      <c r="K439" s="320">
        <f>I439*IF(N('Коннекторы'!F12)&gt;0,N('Коннекторы'!F12),N('Коннекторы'!G12))</f>
        <v>0</v>
      </c>
      <c r="L439" s="320">
        <f>N(L438)+(N(I439)&gt;0)</f>
        <v>0</v>
      </c>
    </row>
    <row r="440">
      <c r="A440" s="321" t="inlineStr">
        <is>
          <t xml:space="preserve">Коннекторы</t>
        </is>
      </c>
      <c r="B440" s="314" t="str">
        <f>'Коннекторы'!A13&amp;""</f>
        <v>FDV 2-187(8)</v>
      </c>
      <c r="C440" s="315" t="str">
        <f>'Коннекторы'!B13&amp;""</f>
        <v>Входной размер 4,75х0,8мм. 1,5-2,5мм², синяя изоляция</v>
      </c>
      <c r="D440" s="316" t="str">
        <f>IF('Коннекторы'!H13="+","есть",IF('Коннекторы'!H13="-","нет",""))</f>
        <v>есть</v>
      </c>
      <c r="E440" s="317"/>
      <c r="F440" s="318">
        <f>IF(N('Коннекторы'!G13)&lt;=0,"по запросу",CHOOSE($K$3,IF(N('Коннекторы'!E13)&gt;0,N('Коннекторы'!E13),N('Коннекторы'!G13)),IF(N('Коннекторы'!F13)&gt;0,N('Коннекторы'!F13),N('Коннекторы'!G13)),N('Коннекторы'!G13)))</f>
        <v>475.3</v>
      </c>
      <c r="G440" s="319" t="str">
        <f>IF(I440&lt;=0,"",IF(ISNUMBER(F440),I440*F440,"по запросу"))</f>
        <v/>
      </c>
      <c r="H440" s="320">
        <f>N('Коннекторы'!I13)</f>
        <v>0</v>
      </c>
      <c r="I440" s="320">
        <f>IF(N(E440)&gt;0,N(E440),H440)</f>
        <v>0</v>
      </c>
      <c r="J440" s="320">
        <f>I440*IF(N('Коннекторы'!E13)&gt;0,N('Коннекторы'!E13),N('Коннекторы'!G13))</f>
        <v>0</v>
      </c>
      <c r="K440" s="320">
        <f>I440*IF(N('Коннекторы'!F13)&gt;0,N('Коннекторы'!F13),N('Коннекторы'!G13))</f>
        <v>0</v>
      </c>
      <c r="L440" s="320">
        <f>N(L439)+(N(I440)&gt;0)</f>
        <v>0</v>
      </c>
    </row>
    <row r="441">
      <c r="A441" s="321" t="inlineStr">
        <is>
          <t xml:space="preserve">Коннекторы</t>
        </is>
      </c>
      <c r="B441" s="314" t="str">
        <f>'Коннекторы'!A14&amp;""</f>
        <v>FDV 2-250</v>
      </c>
      <c r="C441" s="315" t="str">
        <f>'Коннекторы'!B14&amp;""</f>
        <v>Входной размер 6,4х0,8мм. 1,5-2,5мм², синяя изоляция</v>
      </c>
      <c r="D441" s="316" t="str">
        <f>IF('Коннекторы'!H14="+","есть",IF('Коннекторы'!H14="-","нет",""))</f>
        <v>есть</v>
      </c>
      <c r="E441" s="317"/>
      <c r="F441" s="318">
        <f>IF(N('Коннекторы'!G14)&lt;=0,"по запросу",CHOOSE($K$3,IF(N('Коннекторы'!E14)&gt;0,N('Коннекторы'!E14),N('Коннекторы'!G14)),IF(N('Коннекторы'!F14)&gt;0,N('Коннекторы'!F14),N('Коннекторы'!G14)),N('Коннекторы'!G14)))</f>
        <v>531.1</v>
      </c>
      <c r="G441" s="319" t="str">
        <f>IF(I441&lt;=0,"",IF(ISNUMBER(F441),I441*F441,"по запросу"))</f>
        <v/>
      </c>
      <c r="H441" s="320">
        <f>N('Коннекторы'!I14)</f>
        <v>0</v>
      </c>
      <c r="I441" s="320">
        <f>IF(N(E441)&gt;0,N(E441),H441)</f>
        <v>0</v>
      </c>
      <c r="J441" s="320">
        <f>I441*IF(N('Коннекторы'!E14)&gt;0,N('Коннекторы'!E14),N('Коннекторы'!G14))</f>
        <v>0</v>
      </c>
      <c r="K441" s="320">
        <f>I441*IF(N('Коннекторы'!F14)&gt;0,N('Коннекторы'!F14),N('Коннекторы'!G14))</f>
        <v>0</v>
      </c>
      <c r="L441" s="320">
        <f>N(L440)+(N(I441)&gt;0)</f>
        <v>0</v>
      </c>
    </row>
    <row r="442">
      <c r="A442" s="321" t="inlineStr">
        <is>
          <t xml:space="preserve">Коннекторы</t>
        </is>
      </c>
      <c r="B442" s="314" t="str">
        <f>'Коннекторы'!A15&amp;""</f>
        <v>FDV 5-250</v>
      </c>
      <c r="C442" s="315" t="str">
        <f>'Коннекторы'!B15&amp;""</f>
        <v>Входной размер 6,4х0,8мм. 4-6мм², желтая изоляция</v>
      </c>
      <c r="D442" s="316" t="str">
        <f>IF('Коннекторы'!H15="+","есть",IF('Коннекторы'!H15="-","нет",""))</f>
        <v>есть</v>
      </c>
      <c r="E442" s="317"/>
      <c r="F442" s="318">
        <f>IF(N('Коннекторы'!G15)&lt;=0,"по запросу",CHOOSE($K$3,IF(N('Коннекторы'!E15)&gt;0,N('Коннекторы'!E15),N('Коннекторы'!G15)),IF(N('Коннекторы'!F15)&gt;0,N('Коннекторы'!F15),N('Коннекторы'!G15)),N('Коннекторы'!G15)))</f>
        <v>649.1</v>
      </c>
      <c r="G442" s="319" t="str">
        <f>IF(I442&lt;=0,"",IF(ISNUMBER(F442),I442*F442,"по запросу"))</f>
        <v/>
      </c>
      <c r="H442" s="320">
        <f>N('Коннекторы'!I15)</f>
        <v>0</v>
      </c>
      <c r="I442" s="320">
        <f>IF(N(E442)&gt;0,N(E442),H442)</f>
        <v>0</v>
      </c>
      <c r="J442" s="320">
        <f>I442*IF(N('Коннекторы'!E15)&gt;0,N('Коннекторы'!E15),N('Коннекторы'!G15))</f>
        <v>0</v>
      </c>
      <c r="K442" s="320">
        <f>I442*IF(N('Коннекторы'!F15)&gt;0,N('Коннекторы'!F15),N('Коннекторы'!G15))</f>
        <v>0</v>
      </c>
      <c r="L442" s="320">
        <f>N(L441)+(N(I442)&gt;0)</f>
        <v>0</v>
      </c>
    </row>
    <row r="443" ht="20" customHeight="1">
      <c r="A443" s="321" t="inlineStr">
        <is>
          <t xml:space="preserve">Коннекторы</t>
        </is>
      </c>
      <c r="B443" s="312" t="inlineStr">
        <is>
          <t xml:space="preserve">Разъемы "папа" в изоляции vinyl, 100 шт.</t>
        </is>
      </c>
      <c r="L443" s="320">
        <f>N(L442)+(N(I443)&gt;0)</f>
        <v>0</v>
      </c>
    </row>
    <row r="444">
      <c r="A444" s="321" t="inlineStr">
        <is>
          <t xml:space="preserve">Коннекторы</t>
        </is>
      </c>
      <c r="B444" s="314" t="str">
        <f>'Коннекторы'!A17&amp;""</f>
        <v>MDV 1-110(8)</v>
      </c>
      <c r="C444" s="315" t="str">
        <f>'Коннекторы'!B17&amp;""</f>
        <v>Разъем плоский, входной размер 2,8х0,8; 0,5-1,5мм²; красная изоляция</v>
      </c>
      <c r="D444" s="316" t="str">
        <f>IF('Коннекторы'!H17="+","есть",IF('Коннекторы'!H17="-","нет",""))</f>
        <v>есть</v>
      </c>
      <c r="E444" s="317"/>
      <c r="F444" s="318">
        <f>IF(N('Коннекторы'!G17)&lt;=0,"по запросу",CHOOSE($K$3,IF(N('Коннекторы'!E17)&gt;0,N('Коннекторы'!E17),N('Коннекторы'!G17)),IF(N('Коннекторы'!F17)&gt;0,N('Коннекторы'!F17),N('Коннекторы'!G17)),N('Коннекторы'!G17)))</f>
        <v>404.9</v>
      </c>
      <c r="G444" s="319" t="str">
        <f>IF(I444&lt;=0,"",IF(ISNUMBER(F444),I444*F444,"по запросу"))</f>
        <v/>
      </c>
      <c r="H444" s="320">
        <f>N('Коннекторы'!I17)</f>
        <v>0</v>
      </c>
      <c r="I444" s="320">
        <f>IF(N(E444)&gt;0,N(E444),H444)</f>
        <v>0</v>
      </c>
      <c r="J444" s="320">
        <f>I444*IF(N('Коннекторы'!E17)&gt;0,N('Коннекторы'!E17),N('Коннекторы'!G17))</f>
        <v>0</v>
      </c>
      <c r="K444" s="320">
        <f>I444*IF(N('Коннекторы'!F17)&gt;0,N('Коннекторы'!F17),N('Коннекторы'!G17))</f>
        <v>0</v>
      </c>
      <c r="L444" s="320">
        <f>N(L443)+(N(I444)&gt;0)</f>
        <v>0</v>
      </c>
    </row>
    <row r="445">
      <c r="A445" s="321" t="inlineStr">
        <is>
          <t xml:space="preserve">Коннекторы</t>
        </is>
      </c>
      <c r="B445" s="314" t="str">
        <f>'Коннекторы'!A18&amp;""</f>
        <v>MDV 1-187(8)</v>
      </c>
      <c r="C445" s="315" t="str">
        <f>'Коннекторы'!B18&amp;""</f>
        <v>Разъем плоский, входной размер 4,75х0,8; 0,5-1,5мм²; красная изоляция</v>
      </c>
      <c r="D445" s="316" t="str">
        <f>IF('Коннекторы'!H18="+","есть",IF('Коннекторы'!H18="-","нет",""))</f>
        <v>есть</v>
      </c>
      <c r="E445" s="317"/>
      <c r="F445" s="318">
        <f>IF(N('Коннекторы'!G18)&lt;=0,"по запросу",CHOOSE($K$3,IF(N('Коннекторы'!E18)&gt;0,N('Коннекторы'!E18),N('Коннекторы'!G18)),IF(N('Коннекторы'!F18)&gt;0,N('Коннекторы'!F18),N('Коннекторы'!G18)),N('Коннекторы'!G18)))</f>
        <v>409.7</v>
      </c>
      <c r="G445" s="319" t="str">
        <f>IF(I445&lt;=0,"",IF(ISNUMBER(F445),I445*F445,"по запросу"))</f>
        <v/>
      </c>
      <c r="H445" s="320">
        <f>N('Коннекторы'!I18)</f>
        <v>0</v>
      </c>
      <c r="I445" s="320">
        <f>IF(N(E445)&gt;0,N(E445),H445)</f>
        <v>0</v>
      </c>
      <c r="J445" s="320">
        <f>I445*IF(N('Коннекторы'!E18)&gt;0,N('Коннекторы'!E18),N('Коннекторы'!G18))</f>
        <v>0</v>
      </c>
      <c r="K445" s="320">
        <f>I445*IF(N('Коннекторы'!F18)&gt;0,N('Коннекторы'!F18),N('Коннекторы'!G18))</f>
        <v>0</v>
      </c>
      <c r="L445" s="320">
        <f>N(L444)+(N(I445)&gt;0)</f>
        <v>0</v>
      </c>
    </row>
    <row r="446">
      <c r="A446" s="321" t="inlineStr">
        <is>
          <t xml:space="preserve">Коннекторы</t>
        </is>
      </c>
      <c r="B446" s="314" t="str">
        <f>'Коннекторы'!A19&amp;""</f>
        <v>MDV 1-250</v>
      </c>
      <c r="C446" s="315" t="str">
        <f>'Коннекторы'!B19&amp;""</f>
        <v>Разъем плоский, входной размер 6,4х0,8; 0,5-1,5мм²; красная изоляция</v>
      </c>
      <c r="D446" s="316" t="str">
        <f>IF('Коннекторы'!H19="+","есть",IF('Коннекторы'!H19="-","нет",""))</f>
        <v>есть</v>
      </c>
      <c r="E446" s="317"/>
      <c r="F446" s="318">
        <f>IF(N('Коннекторы'!G19)&lt;=0,"по запросу",CHOOSE($K$3,IF(N('Коннекторы'!E19)&gt;0,N('Коннекторы'!E19),N('Коннекторы'!G19)),IF(N('Коннекторы'!F19)&gt;0,N('Коннекторы'!F19),N('Коннекторы'!G19)),N('Коннекторы'!G19)))</f>
        <v>418.1</v>
      </c>
      <c r="G446" s="319" t="str">
        <f>IF(I446&lt;=0,"",IF(ISNUMBER(F446),I446*F446,"по запросу"))</f>
        <v/>
      </c>
      <c r="H446" s="320">
        <f>N('Коннекторы'!I19)</f>
        <v>0</v>
      </c>
      <c r="I446" s="320">
        <f>IF(N(E446)&gt;0,N(E446),H446)</f>
        <v>0</v>
      </c>
      <c r="J446" s="320">
        <f>I446*IF(N('Коннекторы'!E19)&gt;0,N('Коннекторы'!E19),N('Коннекторы'!G19))</f>
        <v>0</v>
      </c>
      <c r="K446" s="320">
        <f>I446*IF(N('Коннекторы'!F19)&gt;0,N('Коннекторы'!F19),N('Коннекторы'!G19))</f>
        <v>0</v>
      </c>
      <c r="L446" s="320">
        <f>N(L445)+(N(I446)&gt;0)</f>
        <v>0</v>
      </c>
    </row>
    <row r="447">
      <c r="A447" s="321" t="inlineStr">
        <is>
          <t xml:space="preserve">Коннекторы</t>
        </is>
      </c>
      <c r="B447" s="314" t="str">
        <f>'Коннекторы'!A20&amp;""</f>
        <v>MDV 2-110(8)</v>
      </c>
      <c r="C447" s="315" t="str">
        <f>'Коннекторы'!B20&amp;""</f>
        <v>Разъем плоский, входной размер 2,8х0,8; 1,5-2,5мм²; синяя изоляция</v>
      </c>
      <c r="D447" s="316" t="str">
        <f>IF('Коннекторы'!H20="+","есть",IF('Коннекторы'!H20="-","нет",""))</f>
        <v>есть</v>
      </c>
      <c r="E447" s="317"/>
      <c r="F447" s="318">
        <f>IF(N('Коннекторы'!G20)&lt;=0,"по запросу",CHOOSE($K$3,IF(N('Коннекторы'!E20)&gt;0,N('Коннекторы'!E20),N('Коннекторы'!G20)),IF(N('Коннекторы'!F20)&gt;0,N('Коннекторы'!F20),N('Коннекторы'!G20)),N('Коннекторы'!G20)))</f>
        <v>404.9</v>
      </c>
      <c r="G447" s="319" t="str">
        <f>IF(I447&lt;=0,"",IF(ISNUMBER(F447),I447*F447,"по запросу"))</f>
        <v/>
      </c>
      <c r="H447" s="320">
        <f>N('Коннекторы'!I20)</f>
        <v>0</v>
      </c>
      <c r="I447" s="320">
        <f>IF(N(E447)&gt;0,N(E447),H447)</f>
        <v>0</v>
      </c>
      <c r="J447" s="320">
        <f>I447*IF(N('Коннекторы'!E20)&gt;0,N('Коннекторы'!E20),N('Коннекторы'!G20))</f>
        <v>0</v>
      </c>
      <c r="K447" s="320">
        <f>I447*IF(N('Коннекторы'!F20)&gt;0,N('Коннекторы'!F20),N('Коннекторы'!G20))</f>
        <v>0</v>
      </c>
      <c r="L447" s="320">
        <f>N(L446)+(N(I447)&gt;0)</f>
        <v>0</v>
      </c>
    </row>
    <row r="448">
      <c r="A448" s="321" t="inlineStr">
        <is>
          <t xml:space="preserve">Коннекторы</t>
        </is>
      </c>
      <c r="B448" s="314" t="str">
        <f>'Коннекторы'!A21&amp;""</f>
        <v>MDV 2-187(8)</v>
      </c>
      <c r="C448" s="315" t="str">
        <f>'Коннекторы'!B21&amp;""</f>
        <v>Разъем плоский, входной размер 4,8х0,8; 1,5-2,5мм3; синяя изоляция</v>
      </c>
      <c r="D448" s="316" t="str">
        <f>IF('Коннекторы'!H21="+","есть",IF('Коннекторы'!H21="-","нет",""))</f>
        <v>есть</v>
      </c>
      <c r="E448" s="317"/>
      <c r="F448" s="318">
        <f>IF(N('Коннекторы'!G21)&lt;=0,"по запросу",CHOOSE($K$3,IF(N('Коннекторы'!E21)&gt;0,N('Коннекторы'!E21),N('Коннекторы'!G21)),IF(N('Коннекторы'!F21)&gt;0,N('Коннекторы'!F21),N('Коннекторы'!G21)),N('Коннекторы'!G21)))</f>
        <v>409.7</v>
      </c>
      <c r="G448" s="319" t="str">
        <f>IF(I448&lt;=0,"",IF(ISNUMBER(F448),I448*F448,"по запросу"))</f>
        <v/>
      </c>
      <c r="H448" s="320">
        <f>N('Коннекторы'!I21)</f>
        <v>0</v>
      </c>
      <c r="I448" s="320">
        <f>IF(N(E448)&gt;0,N(E448),H448)</f>
        <v>0</v>
      </c>
      <c r="J448" s="320">
        <f>I448*IF(N('Коннекторы'!E21)&gt;0,N('Коннекторы'!E21),N('Коннекторы'!G21))</f>
        <v>0</v>
      </c>
      <c r="K448" s="320">
        <f>I448*IF(N('Коннекторы'!F21)&gt;0,N('Коннекторы'!F21),N('Коннекторы'!G21))</f>
        <v>0</v>
      </c>
      <c r="L448" s="320">
        <f>N(L447)+(N(I448)&gt;0)</f>
        <v>0</v>
      </c>
    </row>
    <row r="449">
      <c r="A449" s="321" t="inlineStr">
        <is>
          <t xml:space="preserve">Коннекторы</t>
        </is>
      </c>
      <c r="B449" s="314" t="str">
        <f>'Коннекторы'!A22&amp;""</f>
        <v>MDV 2-250</v>
      </c>
      <c r="C449" s="315" t="str">
        <f>'Коннекторы'!B22&amp;""</f>
        <v>Разъем плоский, входной размер 6,4х0,8; 1,5-2,5мм²; синяя изоляция</v>
      </c>
      <c r="D449" s="316" t="str">
        <f>IF('Коннекторы'!H22="+","есть",IF('Коннекторы'!H22="-","нет",""))</f>
        <v>есть</v>
      </c>
      <c r="E449" s="317"/>
      <c r="F449" s="318">
        <f>IF(N('Коннекторы'!G22)&lt;=0,"по запросу",CHOOSE($K$3,IF(N('Коннекторы'!E22)&gt;0,N('Коннекторы'!E22),N('Коннекторы'!G22)),IF(N('Коннекторы'!F22)&gt;0,N('Коннекторы'!F22),N('Коннекторы'!G22)),N('Коннекторы'!G22)))</f>
        <v>431.1</v>
      </c>
      <c r="G449" s="319" t="str">
        <f>IF(I449&lt;=0,"",IF(ISNUMBER(F449),I449*F449,"по запросу"))</f>
        <v/>
      </c>
      <c r="H449" s="320">
        <f>N('Коннекторы'!I22)</f>
        <v>0</v>
      </c>
      <c r="I449" s="320">
        <f>IF(N(E449)&gt;0,N(E449),H449)</f>
        <v>0</v>
      </c>
      <c r="J449" s="320">
        <f>I449*IF(N('Коннекторы'!E22)&gt;0,N('Коннекторы'!E22),N('Коннекторы'!G22))</f>
        <v>0</v>
      </c>
      <c r="K449" s="320">
        <f>I449*IF(N('Коннекторы'!F22)&gt;0,N('Коннекторы'!F22),N('Коннекторы'!G22))</f>
        <v>0</v>
      </c>
      <c r="L449" s="320">
        <f>N(L448)+(N(I449)&gt;0)</f>
        <v>0</v>
      </c>
    </row>
    <row r="450">
      <c r="A450" s="321" t="inlineStr">
        <is>
          <t xml:space="preserve">Коннекторы</t>
        </is>
      </c>
      <c r="B450" s="314" t="str">
        <f>'Коннекторы'!A23&amp;""</f>
        <v>MDV 5-250</v>
      </c>
      <c r="C450" s="315" t="str">
        <f>'Коннекторы'!B23&amp;""</f>
        <v>Разъем плоский, "папа",  входной размер 6,4х0,8; 4-6мм²; желтая изоляция</v>
      </c>
      <c r="D450" s="316" t="str">
        <f>IF('Коннекторы'!H23="+","есть",IF('Коннекторы'!H23="-","нет",""))</f>
        <v>есть</v>
      </c>
      <c r="E450" s="317"/>
      <c r="F450" s="318">
        <f>IF(N('Коннекторы'!G23)&lt;=0,"по запросу",CHOOSE($K$3,IF(N('Коннекторы'!E23)&gt;0,N('Коннекторы'!E23),N('Коннекторы'!G23)),IF(N('Коннекторы'!F23)&gt;0,N('Коннекторы'!F23),N('Коннекторы'!G23)),N('Коннекторы'!G23)))</f>
        <v>522.8</v>
      </c>
      <c r="G450" s="319" t="str">
        <f>IF(I450&lt;=0,"",IF(ISNUMBER(F450),I450*F450,"по запросу"))</f>
        <v/>
      </c>
      <c r="H450" s="320">
        <f>N('Коннекторы'!I23)</f>
        <v>0</v>
      </c>
      <c r="I450" s="320">
        <f>IF(N(E450)&gt;0,N(E450),H450)</f>
        <v>0</v>
      </c>
      <c r="J450" s="320">
        <f>I450*IF(N('Коннекторы'!E23)&gt;0,N('Коннекторы'!E23),N('Коннекторы'!G23))</f>
        <v>0</v>
      </c>
      <c r="K450" s="320">
        <f>I450*IF(N('Коннекторы'!F23)&gt;0,N('Коннекторы'!F23),N('Коннекторы'!G23))</f>
        <v>0</v>
      </c>
      <c r="L450" s="320">
        <f>N(L449)+(N(I450)&gt;0)</f>
        <v>0</v>
      </c>
    </row>
    <row r="451" ht="20" customHeight="1">
      <c r="A451" s="321" t="inlineStr">
        <is>
          <t xml:space="preserve">Коннекторы</t>
        </is>
      </c>
      <c r="B451" s="312" t="inlineStr">
        <is>
          <t xml:space="preserve">Разъемы "мама/папа" в изоляции vinyl, 100 шт.</t>
        </is>
      </c>
      <c r="L451" s="320">
        <f>N(L450)+(N(I451)&gt;0)</f>
        <v>0</v>
      </c>
    </row>
    <row r="452">
      <c r="A452" s="321" t="inlineStr">
        <is>
          <t xml:space="preserve">Коннекторы</t>
        </is>
      </c>
      <c r="B452" s="314" t="str">
        <f>'Коннекторы'!A25&amp;""</f>
        <v>FDMV 1-250</v>
      </c>
      <c r="C452" s="315" t="str">
        <f>'Коннекторы'!B25&amp;""</f>
        <v>Разъем ответвительный, изоляция Vnil, 0,8х6,4; 0,5-1,5мм², красный</v>
      </c>
      <c r="D452" s="316" t="str">
        <f>IF('Коннекторы'!H25="+","есть",IF('Коннекторы'!H25="-","нет",""))</f>
        <v>нет</v>
      </c>
      <c r="E452" s="317"/>
      <c r="F452" s="318">
        <f>IF(N('Коннекторы'!G25)&lt;=0,"по запросу",CHOOSE($K$3,IF(N('Коннекторы'!E25)&gt;0,N('Коннекторы'!E25),N('Коннекторы'!G25)),IF(N('Коннекторы'!F25)&gt;0,N('Коннекторы'!F25),N('Коннекторы'!G25)),N('Коннекторы'!G25)))</f>
        <v>518.1</v>
      </c>
      <c r="G452" s="319" t="str">
        <f>IF(I452&lt;=0,"",IF(ISNUMBER(F452),I452*F452,"по запросу"))</f>
        <v/>
      </c>
      <c r="H452" s="320">
        <f>N('Коннекторы'!I25)</f>
        <v>0</v>
      </c>
      <c r="I452" s="320">
        <f>IF(N(E452)&gt;0,N(E452),H452)</f>
        <v>0</v>
      </c>
      <c r="J452" s="320">
        <f>I452*IF(N('Коннекторы'!E25)&gt;0,N('Коннекторы'!E25),N('Коннекторы'!G25))</f>
        <v>0</v>
      </c>
      <c r="K452" s="320">
        <f>I452*IF(N('Коннекторы'!F25)&gt;0,N('Коннекторы'!F25),N('Коннекторы'!G25))</f>
        <v>0</v>
      </c>
      <c r="L452" s="320">
        <f>N(L451)+(N(I452)&gt;0)</f>
        <v>0</v>
      </c>
    </row>
    <row r="453">
      <c r="A453" s="321" t="inlineStr">
        <is>
          <t xml:space="preserve">Коннекторы</t>
        </is>
      </c>
      <c r="B453" s="314" t="str">
        <f>'Коннекторы'!A26&amp;""</f>
        <v>FDMV 2-250</v>
      </c>
      <c r="C453" s="315" t="str">
        <f>'Коннекторы'!B26&amp;""</f>
        <v>Разъем ответвительный, изоляция Vnil, 0,8х6,4; 1,5-2,5мм², синий</v>
      </c>
      <c r="D453" s="316" t="str">
        <f>IF('Коннекторы'!H26="+","есть",IF('Коннекторы'!H26="-","нет",""))</f>
        <v>нет</v>
      </c>
      <c r="E453" s="317"/>
      <c r="F453" s="318">
        <f>IF(N('Коннекторы'!G26)&lt;=0,"по запросу",CHOOSE($K$3,IF(N('Коннекторы'!E26)&gt;0,N('Коннекторы'!E26),N('Коннекторы'!G26)),IF(N('Коннекторы'!F26)&gt;0,N('Коннекторы'!F26),N('Коннекторы'!G26)),N('Коннекторы'!G26)))</f>
        <v>588.4</v>
      </c>
      <c r="G453" s="319" t="str">
        <f>IF(I453&lt;=0,"",IF(ISNUMBER(F453),I453*F453,"по запросу"))</f>
        <v/>
      </c>
      <c r="H453" s="320">
        <f>N('Коннекторы'!I26)</f>
        <v>0</v>
      </c>
      <c r="I453" s="320">
        <f>IF(N(E453)&gt;0,N(E453),H453)</f>
        <v>0</v>
      </c>
      <c r="J453" s="320">
        <f>I453*IF(N('Коннекторы'!E26)&gt;0,N('Коннекторы'!E26),N('Коннекторы'!G26))</f>
        <v>0</v>
      </c>
      <c r="K453" s="320">
        <f>I453*IF(N('Коннекторы'!F26)&gt;0,N('Коннекторы'!F26),N('Коннекторы'!G26))</f>
        <v>0</v>
      </c>
      <c r="L453" s="320">
        <f>N(L452)+(N(I453)&gt;0)</f>
        <v>0</v>
      </c>
    </row>
    <row r="454">
      <c r="A454" s="321" t="inlineStr">
        <is>
          <t xml:space="preserve">Коннекторы</t>
        </is>
      </c>
      <c r="B454" s="314" t="str">
        <f>'Коннекторы'!A27&amp;""</f>
        <v>FDMV 5-250</v>
      </c>
      <c r="C454" s="315" t="str">
        <f>'Коннекторы'!B27&amp;""</f>
        <v>Разъем ответвительный, изоляция Vnil, 0,8х6,4; 4,0-6,0мм², желтый</v>
      </c>
      <c r="D454" s="316" t="str">
        <f>IF('Коннекторы'!H27="+","есть",IF('Коннекторы'!H27="-","нет",""))</f>
        <v>нет</v>
      </c>
      <c r="E454" s="317"/>
      <c r="F454" s="318">
        <f>IF(N('Коннекторы'!G27)&lt;=0,"по запросу",CHOOSE($K$3,IF(N('Коннекторы'!E27)&gt;0,N('Коннекторы'!E27),N('Коннекторы'!G27)),IF(N('Коннекторы'!F27)&gt;0,N('Коннекторы'!F27),N('Коннекторы'!G27)),N('Коннекторы'!G27)))</f>
        <v>771.8</v>
      </c>
      <c r="G454" s="319" t="str">
        <f>IF(I454&lt;=0,"",IF(ISNUMBER(F454),I454*F454,"по запросу"))</f>
        <v/>
      </c>
      <c r="H454" s="320">
        <f>N('Коннекторы'!I27)</f>
        <v>0</v>
      </c>
      <c r="I454" s="320">
        <f>IF(N(E454)&gt;0,N(E454),H454)</f>
        <v>0</v>
      </c>
      <c r="J454" s="320">
        <f>I454*IF(N('Коннекторы'!E27)&gt;0,N('Коннекторы'!E27),N('Коннекторы'!G27))</f>
        <v>0</v>
      </c>
      <c r="K454" s="320">
        <f>I454*IF(N('Коннекторы'!F27)&gt;0,N('Коннекторы'!F27),N('Коннекторы'!G27))</f>
        <v>0</v>
      </c>
      <c r="L454" s="320">
        <f>N(L453)+(N(I454)&gt;0)</f>
        <v>0</v>
      </c>
    </row>
    <row r="455" ht="20" customHeight="1">
      <c r="A455" s="321" t="inlineStr">
        <is>
          <t xml:space="preserve">Коннекторы</t>
        </is>
      </c>
      <c r="B455" s="312" t="inlineStr">
        <is>
          <t xml:space="preserve">Разъемы "мама" полностью изолированные в изоляции nylon, 100 шт.</t>
        </is>
      </c>
      <c r="L455" s="320">
        <f>N(L454)+(N(I455)&gt;0)</f>
        <v>0</v>
      </c>
    </row>
    <row r="456">
      <c r="A456" s="321" t="inlineStr">
        <is>
          <t xml:space="preserve">Коннекторы</t>
        </is>
      </c>
      <c r="B456" s="314" t="str">
        <f>'Коннекторы'!A29&amp;""</f>
        <v>FDFN 1-250</v>
      </c>
      <c r="C456" s="315" t="str">
        <f>'Коннекторы'!B29&amp;""</f>
        <v>Разъем плоский, изоляция Nylon, 0,8х6,4;  0,5-1,5мм², красный</v>
      </c>
      <c r="D456" s="316" t="str">
        <f>IF('Коннекторы'!H29="+","есть",IF('Коннекторы'!H29="-","нет",""))</f>
        <v>нет</v>
      </c>
      <c r="E456" s="317"/>
      <c r="F456" s="318">
        <f>IF(N('Коннекторы'!G29)&lt;=0,"по запросу",CHOOSE($K$3,IF(N('Коннекторы'!E29)&gt;0,N('Коннекторы'!E29),N('Коннекторы'!G29)),IF(N('Коннекторы'!F29)&gt;0,N('Коннекторы'!F29),N('Коннекторы'!G29)),N('Коннекторы'!G29)))</f>
        <v>1188.5</v>
      </c>
      <c r="G456" s="319" t="str">
        <f>IF(I456&lt;=0,"",IF(ISNUMBER(F456),I456*F456,"по запросу"))</f>
        <v/>
      </c>
      <c r="H456" s="320">
        <f>N('Коннекторы'!I29)</f>
        <v>0</v>
      </c>
      <c r="I456" s="320">
        <f>IF(N(E456)&gt;0,N(E456),H456)</f>
        <v>0</v>
      </c>
      <c r="J456" s="320">
        <f>I456*IF(N('Коннекторы'!E29)&gt;0,N('Коннекторы'!E29),N('Коннекторы'!G29))</f>
        <v>0</v>
      </c>
      <c r="K456" s="320">
        <f>I456*IF(N('Коннекторы'!F29)&gt;0,N('Коннекторы'!F29),N('Коннекторы'!G29))</f>
        <v>0</v>
      </c>
      <c r="L456" s="320">
        <f>N(L455)+(N(I456)&gt;0)</f>
        <v>0</v>
      </c>
    </row>
    <row r="457">
      <c r="A457" s="321" t="inlineStr">
        <is>
          <t xml:space="preserve">Коннекторы</t>
        </is>
      </c>
      <c r="B457" s="314" t="str">
        <f>'Коннекторы'!A30&amp;""</f>
        <v>FDFN 2-250</v>
      </c>
      <c r="C457" s="315" t="str">
        <f>'Коннекторы'!B30&amp;""</f>
        <v>Разъем плоский, изоляция Nylon, 0,8х6,4; 1,5-2,5мм²; синий</v>
      </c>
      <c r="D457" s="316" t="str">
        <f>IF('Коннекторы'!H30="+","есть",IF('Коннекторы'!H30="-","нет",""))</f>
        <v>нет</v>
      </c>
      <c r="E457" s="317"/>
      <c r="F457" s="318">
        <f>IF(N('Коннекторы'!G30)&lt;=0,"по запросу",CHOOSE($K$3,IF(N('Коннекторы'!E30)&gt;0,N('Коннекторы'!E30),N('Коннекторы'!G30)),IF(N('Коннекторы'!F30)&gt;0,N('Коннекторы'!F30),N('Коннекторы'!G30)),N('Коннекторы'!G30)))</f>
        <v>1300.5</v>
      </c>
      <c r="G457" s="319" t="str">
        <f>IF(I457&lt;=0,"",IF(ISNUMBER(F457),I457*F457,"по запросу"))</f>
        <v/>
      </c>
      <c r="H457" s="320">
        <f>N('Коннекторы'!I30)</f>
        <v>0</v>
      </c>
      <c r="I457" s="320">
        <f>IF(N(E457)&gt;0,N(E457),H457)</f>
        <v>0</v>
      </c>
      <c r="J457" s="320">
        <f>I457*IF(N('Коннекторы'!E30)&gt;0,N('Коннекторы'!E30),N('Коннекторы'!G30))</f>
        <v>0</v>
      </c>
      <c r="K457" s="320">
        <f>I457*IF(N('Коннекторы'!F30)&gt;0,N('Коннекторы'!F30),N('Коннекторы'!G30))</f>
        <v>0</v>
      </c>
      <c r="L457" s="320">
        <f>N(L456)+(N(I457)&gt;0)</f>
        <v>0</v>
      </c>
    </row>
    <row r="458">
      <c r="A458" s="321" t="inlineStr">
        <is>
          <t xml:space="preserve">Коннекторы</t>
        </is>
      </c>
      <c r="B458" s="314" t="str">
        <f>'Коннекторы'!A31&amp;""</f>
        <v>FDFN 5-250</v>
      </c>
      <c r="C458" s="315" t="str">
        <f>'Коннекторы'!B31&amp;""</f>
        <v>Разъем плоский, изоляция Nylon, 0,8х6,4; 4-6мм²; желтый</v>
      </c>
      <c r="D458" s="316" t="str">
        <f>IF('Коннекторы'!H31="+","есть",IF('Коннекторы'!H31="-","нет",""))</f>
        <v>нет</v>
      </c>
      <c r="E458" s="317"/>
      <c r="F458" s="318">
        <f>IF(N('Коннекторы'!G31)&lt;=0,"по запросу",CHOOSE($K$3,IF(N('Коннекторы'!E31)&gt;0,N('Коннекторы'!E31),N('Коннекторы'!G31)),IF(N('Коннекторы'!F31)&gt;0,N('Коннекторы'!F31),N('Коннекторы'!G31)),N('Коннекторы'!G31)))</f>
        <v>1300.5</v>
      </c>
      <c r="G458" s="319" t="str">
        <f>IF(I458&lt;=0,"",IF(ISNUMBER(F458),I458*F458,"по запросу"))</f>
        <v/>
      </c>
      <c r="H458" s="320">
        <f>N('Коннекторы'!I31)</f>
        <v>0</v>
      </c>
      <c r="I458" s="320">
        <f>IF(N(E458)&gt;0,N(E458),H458)</f>
        <v>0</v>
      </c>
      <c r="J458" s="320">
        <f>I458*IF(N('Коннекторы'!E31)&gt;0,N('Коннекторы'!E31),N('Коннекторы'!G31))</f>
        <v>0</v>
      </c>
      <c r="K458" s="320">
        <f>I458*IF(N('Коннекторы'!F31)&gt;0,N('Коннекторы'!F31),N('Коннекторы'!G31))</f>
        <v>0</v>
      </c>
      <c r="L458" s="320">
        <f>N(L457)+(N(I458)&gt;0)</f>
        <v>0</v>
      </c>
    </row>
    <row r="459" ht="20" customHeight="1">
      <c r="A459" s="321" t="inlineStr">
        <is>
          <t xml:space="preserve">Коннекторы</t>
        </is>
      </c>
      <c r="B459" s="312" t="inlineStr">
        <is>
          <t xml:space="preserve">Разъемы "папа" полностью изолированные в изоляции nylon, 100 шт.</t>
        </is>
      </c>
      <c r="L459" s="320">
        <f>N(L458)+(N(I459)&gt;0)</f>
        <v>0</v>
      </c>
    </row>
    <row r="460">
      <c r="A460" s="321" t="inlineStr">
        <is>
          <t xml:space="preserve">Коннекторы</t>
        </is>
      </c>
      <c r="B460" s="314" t="str">
        <f>'Коннекторы'!A33&amp;""</f>
        <v>90673</v>
      </c>
      <c r="C460" s="315" t="str">
        <f>'Коннекторы'!B33&amp;""</f>
        <v>Разъем плоский "папа", 0,32*270,  0,8*6,4, 24А,  4-6мм²</v>
      </c>
      <c r="D460" s="316" t="str">
        <f>IF('Коннекторы'!H33="+","есть",IF('Коннекторы'!H33="-","нет",""))</f>
        <v>есть</v>
      </c>
      <c r="E460" s="317"/>
      <c r="F460" s="318">
        <f>IF(N('Коннекторы'!G33)&lt;=0,"по запросу",CHOOSE($K$3,IF(N('Коннекторы'!E33)&gt;0,N('Коннекторы'!E33),N('Коннекторы'!G33)),IF(N('Коннекторы'!F33)&gt;0,N('Коннекторы'!F33),N('Коннекторы'!G33)),N('Коннекторы'!G33)))</f>
        <v>435.6</v>
      </c>
      <c r="G460" s="319" t="str">
        <f>IF(I460&lt;=0,"",IF(ISNUMBER(F460),I460*F460,"по запросу"))</f>
        <v/>
      </c>
      <c r="H460" s="320">
        <f>N('Коннекторы'!I33)</f>
        <v>0</v>
      </c>
      <c r="I460" s="320">
        <f>IF(N(E460)&gt;0,N(E460),H460)</f>
        <v>0</v>
      </c>
      <c r="J460" s="320">
        <f>I460*IF(N('Коннекторы'!E33)&gt;0,N('Коннекторы'!E33),N('Коннекторы'!G33))</f>
        <v>0</v>
      </c>
      <c r="K460" s="320">
        <f>I460*IF(N('Коннекторы'!F33)&gt;0,N('Коннекторы'!F33),N('Коннекторы'!G33))</f>
        <v>0</v>
      </c>
      <c r="L460" s="320">
        <f>N(L459)+(N(I460)&gt;0)</f>
        <v>0</v>
      </c>
    </row>
    <row r="461" ht="20" customHeight="1">
      <c r="A461" s="321" t="inlineStr">
        <is>
          <t xml:space="preserve">Коннекторы</t>
        </is>
      </c>
      <c r="B461" s="312" t="inlineStr">
        <is>
          <t xml:space="preserve">Разъемы "мама" полностью изолированные в изоляции vinyl, 100 шт.</t>
        </is>
      </c>
      <c r="L461" s="320">
        <f>N(L460)+(N(I461)&gt;0)</f>
        <v>0</v>
      </c>
    </row>
    <row r="462">
      <c r="A462" s="321" t="inlineStr">
        <is>
          <t xml:space="preserve">Коннекторы</t>
        </is>
      </c>
      <c r="B462" s="314" t="str">
        <f>'Коннекторы'!A35&amp;""</f>
        <v>FDFV 1-250</v>
      </c>
      <c r="C462" s="315" t="str">
        <f>'Коннекторы'!B35&amp;""</f>
        <v>Разъем плоский, изоляция Vinil, 0,8х6,4; 0,5-1,5мм², красный</v>
      </c>
      <c r="D462" s="316" t="str">
        <f>IF('Коннекторы'!H35="+","есть",IF('Коннекторы'!H35="-","нет",""))</f>
        <v>есть</v>
      </c>
      <c r="E462" s="317"/>
      <c r="F462" s="318">
        <f>IF(N('Коннекторы'!G35)&lt;=0,"по запросу",CHOOSE($K$3,IF(N('Коннекторы'!E35)&gt;0,N('Коннекторы'!E35),N('Коннекторы'!G35)),IF(N('Коннекторы'!F35)&gt;0,N('Коннекторы'!F35),N('Коннекторы'!G35)),N('Коннекторы'!G35)))</f>
        <v>594.3</v>
      </c>
      <c r="G462" s="319" t="str">
        <f>IF(I462&lt;=0,"",IF(ISNUMBER(F462),I462*F462,"по запросу"))</f>
        <v/>
      </c>
      <c r="H462" s="320">
        <f>N('Коннекторы'!I35)</f>
        <v>0</v>
      </c>
      <c r="I462" s="320">
        <f>IF(N(E462)&gt;0,N(E462),H462)</f>
        <v>0</v>
      </c>
      <c r="J462" s="320">
        <f>I462*IF(N('Коннекторы'!E35)&gt;0,N('Коннекторы'!E35),N('Коннекторы'!G35))</f>
        <v>0</v>
      </c>
      <c r="K462" s="320">
        <f>I462*IF(N('Коннекторы'!F35)&gt;0,N('Коннекторы'!F35),N('Коннекторы'!G35))</f>
        <v>0</v>
      </c>
      <c r="L462" s="320">
        <f>N(L461)+(N(I462)&gt;0)</f>
        <v>0</v>
      </c>
    </row>
    <row r="463">
      <c r="A463" s="321" t="inlineStr">
        <is>
          <t xml:space="preserve">Коннекторы</t>
        </is>
      </c>
      <c r="B463" s="314" t="str">
        <f>'Коннекторы'!A36&amp;""</f>
        <v>FDFV 2-250</v>
      </c>
      <c r="C463" s="315" t="str">
        <f>'Коннекторы'!B36&amp;""</f>
        <v>Разъем плоский, изоляция Vinil, 0,8х6,4; 1,5-2,5мм², синий</v>
      </c>
      <c r="D463" s="316" t="str">
        <f>IF('Коннекторы'!H36="+","есть",IF('Коннекторы'!H36="-","нет",""))</f>
        <v>есть</v>
      </c>
      <c r="E463" s="317"/>
      <c r="F463" s="318">
        <f>IF(N('Коннекторы'!G36)&lt;=0,"по запросу",CHOOSE($K$3,IF(N('Коннекторы'!E36)&gt;0,N('Коннекторы'!E36),N('Коннекторы'!G36)),IF(N('Коннекторы'!F36)&gt;0,N('Коннекторы'!F36),N('Коннекторы'!G36)),N('Коннекторы'!G36)))</f>
        <v>705</v>
      </c>
      <c r="G463" s="319" t="str">
        <f>IF(I463&lt;=0,"",IF(ISNUMBER(F463),I463*F463,"по запросу"))</f>
        <v/>
      </c>
      <c r="H463" s="320">
        <f>N('Коннекторы'!I36)</f>
        <v>0</v>
      </c>
      <c r="I463" s="320">
        <f>IF(N(E463)&gt;0,N(E463),H463)</f>
        <v>0</v>
      </c>
      <c r="J463" s="320">
        <f>I463*IF(N('Коннекторы'!E36)&gt;0,N('Коннекторы'!E36),N('Коннекторы'!G36))</f>
        <v>0</v>
      </c>
      <c r="K463" s="320">
        <f>I463*IF(N('Коннекторы'!F36)&gt;0,N('Коннекторы'!F36),N('Коннекторы'!G36))</f>
        <v>0</v>
      </c>
      <c r="L463" s="320">
        <f>N(L462)+(N(I463)&gt;0)</f>
        <v>0</v>
      </c>
    </row>
    <row r="464">
      <c r="A464" s="321" t="inlineStr">
        <is>
          <t xml:space="preserve">Коннекторы</t>
        </is>
      </c>
      <c r="B464" s="314" t="str">
        <f>'Коннекторы'!A37&amp;""</f>
        <v>FDFV 5-250</v>
      </c>
      <c r="C464" s="315" t="str">
        <f>'Коннекторы'!B37&amp;""</f>
        <v>Разъем плоский, изоляция Vinil, 0,8х6,4;  4-6мм², желтый</v>
      </c>
      <c r="D464" s="316" t="str">
        <f>IF('Коннекторы'!H37="+","есть",IF('Коннекторы'!H37="-","нет",""))</f>
        <v>есть</v>
      </c>
      <c r="E464" s="317"/>
      <c r="F464" s="318">
        <f>IF(N('Коннекторы'!G37)&lt;=0,"по запросу",CHOOSE($K$3,IF(N('Коннекторы'!E37)&gt;0,N('Коннекторы'!E37),N('Коннекторы'!G37)),IF(N('Коннекторы'!F37)&gt;0,N('Коннекторы'!F37),N('Коннекторы'!G37)),N('Коннекторы'!G37)))</f>
        <v>877.7</v>
      </c>
      <c r="G464" s="319" t="str">
        <f>IF(I464&lt;=0,"",IF(ISNUMBER(F464),I464*F464,"по запросу"))</f>
        <v/>
      </c>
      <c r="H464" s="320">
        <f>N('Коннекторы'!I37)</f>
        <v>0</v>
      </c>
      <c r="I464" s="320">
        <f>IF(N(E464)&gt;0,N(E464),H464)</f>
        <v>0</v>
      </c>
      <c r="J464" s="320">
        <f>I464*IF(N('Коннекторы'!E37)&gt;0,N('Коннекторы'!E37),N('Коннекторы'!G37))</f>
        <v>0</v>
      </c>
      <c r="K464" s="320">
        <f>I464*IF(N('Коннекторы'!F37)&gt;0,N('Коннекторы'!F37),N('Коннекторы'!G37))</f>
        <v>0</v>
      </c>
      <c r="L464" s="320">
        <f>N(L463)+(N(I464)&gt;0)</f>
        <v>0</v>
      </c>
    </row>
    <row r="465" ht="20" customHeight="1">
      <c r="A465" s="321" t="inlineStr">
        <is>
          <t xml:space="preserve">Коннекторы</t>
        </is>
      </c>
      <c r="B465" s="312" t="inlineStr">
        <is>
          <t xml:space="preserve">Разъемы "мама" пулевого типа полностью изолированные в изоляции vinyl , 100 шт.</t>
        </is>
      </c>
      <c r="L465" s="320">
        <f>N(L464)+(N(I465)&gt;0)</f>
        <v>0</v>
      </c>
    </row>
    <row r="466">
      <c r="A466" s="321" t="inlineStr">
        <is>
          <t xml:space="preserve">Коннекторы</t>
        </is>
      </c>
      <c r="B466" s="314" t="str">
        <f>'Коннекторы'!A39&amp;""</f>
        <v>FRV 1-156</v>
      </c>
      <c r="C466" s="315" t="str">
        <f>'Коннекторы'!B39&amp;""</f>
        <v>Входной размер 4мм. Сечение провода 0,5-1,5 , 10А</v>
      </c>
      <c r="D466" s="316" t="str">
        <f>IF('Коннекторы'!H39="+","есть",IF('Коннекторы'!H39="-","нет",""))</f>
        <v>нет</v>
      </c>
      <c r="E466" s="317"/>
      <c r="F466" s="318">
        <f>IF(N('Коннекторы'!G39)&lt;=0,"по запросу",CHOOSE($K$3,IF(N('Коннекторы'!E39)&gt;0,N('Коннекторы'!E39),N('Коннекторы'!G39)),IF(N('Коннекторы'!F39)&gt;0,N('Коннекторы'!F39),N('Коннекторы'!G39)),N('Коннекторы'!G39)))</f>
        <v>557.3</v>
      </c>
      <c r="G466" s="319" t="str">
        <f>IF(I466&lt;=0,"",IF(ISNUMBER(F466),I466*F466,"по запросу"))</f>
        <v/>
      </c>
      <c r="H466" s="320">
        <f>N('Коннекторы'!I39)</f>
        <v>0</v>
      </c>
      <c r="I466" s="320">
        <f>IF(N(E466)&gt;0,N(E466),H466)</f>
        <v>0</v>
      </c>
      <c r="J466" s="320">
        <f>I466*IF(N('Коннекторы'!E39)&gt;0,N('Коннекторы'!E39),N('Коннекторы'!G39))</f>
        <v>0</v>
      </c>
      <c r="K466" s="320">
        <f>I466*IF(N('Коннекторы'!F39)&gt;0,N('Коннекторы'!F39),N('Коннекторы'!G39))</f>
        <v>0</v>
      </c>
      <c r="L466" s="320">
        <f>N(L465)+(N(I466)&gt;0)</f>
        <v>0</v>
      </c>
    </row>
    <row r="467">
      <c r="A467" s="321" t="inlineStr">
        <is>
          <t xml:space="preserve">Коннекторы</t>
        </is>
      </c>
      <c r="B467" s="314" t="str">
        <f>'Коннекторы'!A40&amp;""</f>
        <v>FRV 2-156</v>
      </c>
      <c r="C467" s="315" t="str">
        <f>'Коннекторы'!B40&amp;""</f>
        <v>Входной размер 4мм. Сечечение провода 1,5-2,5; 15А </v>
      </c>
      <c r="D467" s="316" t="str">
        <f>IF('Коннекторы'!H40="+","есть",IF('Коннекторы'!H40="-","нет",""))</f>
        <v>нет</v>
      </c>
      <c r="E467" s="317"/>
      <c r="F467" s="318">
        <f>IF(N('Коннекторы'!G40)&lt;=0,"по запросу",CHOOSE($K$3,IF(N('Коннекторы'!E40)&gt;0,N('Коннекторы'!E40),N('Коннекторы'!G40)),IF(N('Коннекторы'!F40)&gt;0,N('Коннекторы'!F40),N('Коннекторы'!G40)),N('Коннекторы'!G40)))</f>
        <v>591.9</v>
      </c>
      <c r="G467" s="319" t="str">
        <f>IF(I467&lt;=0,"",IF(ISNUMBER(F467),I467*F467,"по запросу"))</f>
        <v/>
      </c>
      <c r="H467" s="320">
        <f>N('Коннекторы'!I40)</f>
        <v>0</v>
      </c>
      <c r="I467" s="320">
        <f>IF(N(E467)&gt;0,N(E467),H467)</f>
        <v>0</v>
      </c>
      <c r="J467" s="320">
        <f>I467*IF(N('Коннекторы'!E40)&gt;0,N('Коннекторы'!E40),N('Коннекторы'!G40))</f>
        <v>0</v>
      </c>
      <c r="K467" s="320">
        <f>I467*IF(N('Коннекторы'!F40)&gt;0,N('Коннекторы'!F40),N('Коннекторы'!G40))</f>
        <v>0</v>
      </c>
      <c r="L467" s="320">
        <f>N(L466)+(N(I467)&gt;0)</f>
        <v>0</v>
      </c>
    </row>
    <row r="468">
      <c r="A468" s="321" t="inlineStr">
        <is>
          <t xml:space="preserve">Коннекторы</t>
        </is>
      </c>
      <c r="B468" s="314" t="str">
        <f>'Коннекторы'!A41&amp;""</f>
        <v>FRV 2-187</v>
      </c>
      <c r="C468" s="315" t="str">
        <f>'Коннекторы'!B41&amp;""</f>
        <v>Входной размер 4,8мм. Сечечение провода 1,5-2,5; 15А </v>
      </c>
      <c r="D468" s="316" t="str">
        <f>IF('Коннекторы'!H41="+","есть",IF('Коннекторы'!H41="-","нет",""))</f>
        <v>нет</v>
      </c>
      <c r="E468" s="317"/>
      <c r="F468" s="318">
        <f>IF(N('Коннекторы'!G41)&lt;=0,"по запросу",CHOOSE($K$3,IF(N('Коннекторы'!E41)&gt;0,N('Коннекторы'!E41),N('Коннекторы'!G41)),IF(N('Коннекторы'!F41)&gt;0,N('Коннекторы'!F41),N('Коннекторы'!G41)),N('Коннекторы'!G41)))</f>
        <v>760.9</v>
      </c>
      <c r="G468" s="319" t="str">
        <f>IF(I468&lt;=0,"",IF(ISNUMBER(F468),I468*F468,"по запросу"))</f>
        <v/>
      </c>
      <c r="H468" s="320">
        <f>N('Коннекторы'!I41)</f>
        <v>0</v>
      </c>
      <c r="I468" s="320">
        <f>IF(N(E468)&gt;0,N(E468),H468)</f>
        <v>0</v>
      </c>
      <c r="J468" s="320">
        <f>I468*IF(N('Коннекторы'!E41)&gt;0,N('Коннекторы'!E41),N('Коннекторы'!G41))</f>
        <v>0</v>
      </c>
      <c r="K468" s="320">
        <f>I468*IF(N('Коннекторы'!F41)&gt;0,N('Коннекторы'!F41),N('Коннекторы'!G41))</f>
        <v>0</v>
      </c>
      <c r="L468" s="320">
        <f>N(L467)+(N(I468)&gt;0)</f>
        <v>0</v>
      </c>
    </row>
    <row r="469" ht="20" customHeight="1">
      <c r="A469" s="321" t="inlineStr">
        <is>
          <t xml:space="preserve">Коннекторы</t>
        </is>
      </c>
      <c r="B469" s="312" t="inlineStr">
        <is>
          <t xml:space="preserve">Разъемы "папа" пулевого типа в изоляции vinyl, 100 шт.</t>
        </is>
      </c>
      <c r="L469" s="320">
        <f>N(L468)+(N(I469)&gt;0)</f>
        <v>0</v>
      </c>
    </row>
    <row r="470">
      <c r="A470" s="321" t="inlineStr">
        <is>
          <t xml:space="preserve">Коннекторы</t>
        </is>
      </c>
      <c r="B470" s="314" t="str">
        <f>'Коннекторы'!A43&amp;""</f>
        <v>MPV 1-156</v>
      </c>
      <c r="C470" s="315" t="str">
        <f>'Коннекторы'!B43&amp;""</f>
        <v>Входной размер 4мм. Сечение провода 0,5-1,5 , 10А</v>
      </c>
      <c r="D470" s="316" t="str">
        <f>IF('Коннекторы'!H43="+","есть",IF('Коннекторы'!H43="-","нет",""))</f>
        <v>нет</v>
      </c>
      <c r="E470" s="317"/>
      <c r="F470" s="318">
        <f>IF(N('Коннекторы'!G43)&lt;=0,"по запросу",CHOOSE($K$3,IF(N('Коннекторы'!E43)&gt;0,N('Коннекторы'!E43),N('Коннекторы'!G43)),IF(N('Коннекторы'!F43)&gt;0,N('Коннекторы'!F43),N('Коннекторы'!G43)),N('Коннекторы'!G43)))</f>
        <v>489.4</v>
      </c>
      <c r="G470" s="319" t="str">
        <f>IF(I470&lt;=0,"",IF(ISNUMBER(F470),I470*F470,"по запросу"))</f>
        <v/>
      </c>
      <c r="H470" s="320">
        <f>N('Коннекторы'!I43)</f>
        <v>0</v>
      </c>
      <c r="I470" s="320">
        <f>IF(N(E470)&gt;0,N(E470),H470)</f>
        <v>0</v>
      </c>
      <c r="J470" s="320">
        <f>I470*IF(N('Коннекторы'!E43)&gt;0,N('Коннекторы'!E43),N('Коннекторы'!G43))</f>
        <v>0</v>
      </c>
      <c r="K470" s="320">
        <f>I470*IF(N('Коннекторы'!F43)&gt;0,N('Коннекторы'!F43),N('Коннекторы'!G43))</f>
        <v>0</v>
      </c>
      <c r="L470" s="320">
        <f>N(L469)+(N(I470)&gt;0)</f>
        <v>0</v>
      </c>
    </row>
    <row r="471">
      <c r="A471" s="321" t="inlineStr">
        <is>
          <t xml:space="preserve">Коннекторы</t>
        </is>
      </c>
      <c r="B471" s="314" t="str">
        <f>'Коннекторы'!A44&amp;""</f>
        <v>MPV 2-156</v>
      </c>
      <c r="C471" s="315" t="str">
        <f>'Коннекторы'!B44&amp;""</f>
        <v>Входной размер 4мм. Сечечение провода 1,5-2,5; 15А </v>
      </c>
      <c r="D471" s="316" t="str">
        <f>IF('Коннекторы'!H44="+","есть",IF('Коннекторы'!H44="-","нет",""))</f>
        <v>нет</v>
      </c>
      <c r="E471" s="317"/>
      <c r="F471" s="318">
        <f>IF(N('Коннекторы'!G44)&lt;=0,"по запросу",CHOOSE($K$3,IF(N('Коннекторы'!E44)&gt;0,N('Коннекторы'!E44),N('Коннекторы'!G44)),IF(N('Коннекторы'!F44)&gt;0,N('Коннекторы'!F44),N('Коннекторы'!G44)),N('Коннекторы'!G44)))</f>
        <v>533.6</v>
      </c>
      <c r="G471" s="319" t="str">
        <f>IF(I471&lt;=0,"",IF(ISNUMBER(F471),I471*F471,"по запросу"))</f>
        <v/>
      </c>
      <c r="H471" s="320">
        <f>N('Коннекторы'!I44)</f>
        <v>0</v>
      </c>
      <c r="I471" s="320">
        <f>IF(N(E471)&gt;0,N(E471),H471)</f>
        <v>0</v>
      </c>
      <c r="J471" s="320">
        <f>I471*IF(N('Коннекторы'!E44)&gt;0,N('Коннекторы'!E44),N('Коннекторы'!G44))</f>
        <v>0</v>
      </c>
      <c r="K471" s="320">
        <f>I471*IF(N('Коннекторы'!F44)&gt;0,N('Коннекторы'!F44),N('Коннекторы'!G44))</f>
        <v>0</v>
      </c>
      <c r="L471" s="320">
        <f>N(L470)+(N(I471)&gt;0)</f>
        <v>0</v>
      </c>
    </row>
    <row r="472">
      <c r="A472" s="321" t="inlineStr">
        <is>
          <t xml:space="preserve">Коннекторы</t>
        </is>
      </c>
      <c r="B472" s="314" t="str">
        <f>'Коннекторы'!A45&amp;""</f>
        <v>MPV 2-187</v>
      </c>
      <c r="C472" s="315" t="str">
        <f>'Коннекторы'!B45&amp;""</f>
        <v>Входной размер 4,8мм. Сечечение провода 1,5-2,5; 15А </v>
      </c>
      <c r="D472" s="316" t="str">
        <f>IF('Коннекторы'!H45="+","есть",IF('Коннекторы'!H45="-","нет",""))</f>
        <v>нет</v>
      </c>
      <c r="E472" s="317"/>
      <c r="F472" s="318">
        <f>IF(N('Коннекторы'!G45)&lt;=0,"по запросу",CHOOSE($K$3,IF(N('Коннекторы'!E45)&gt;0,N('Коннекторы'!E45),N('Коннекторы'!G45)),IF(N('Коннекторы'!F45)&gt;0,N('Коннекторы'!F45),N('Коннекторы'!G45)),N('Коннекторы'!G45)))</f>
        <v>611</v>
      </c>
      <c r="G472" s="319" t="str">
        <f>IF(I472&lt;=0,"",IF(ISNUMBER(F472),I472*F472,"по запросу"))</f>
        <v/>
      </c>
      <c r="H472" s="320">
        <f>N('Коннекторы'!I45)</f>
        <v>0</v>
      </c>
      <c r="I472" s="320">
        <f>IF(N(E472)&gt;0,N(E472),H472)</f>
        <v>0</v>
      </c>
      <c r="J472" s="320">
        <f>I472*IF(N('Коннекторы'!E45)&gt;0,N('Коннекторы'!E45),N('Коннекторы'!G45))</f>
        <v>0</v>
      </c>
      <c r="K472" s="320">
        <f>I472*IF(N('Коннекторы'!F45)&gt;0,N('Коннекторы'!F45),N('Коннекторы'!G45))</f>
        <v>0</v>
      </c>
      <c r="L472" s="320">
        <f>N(L471)+(N(I472)&gt;0)</f>
        <v>0</v>
      </c>
    </row>
    <row r="473" ht="20" customHeight="1">
      <c r="A473" s="321" t="inlineStr">
        <is>
          <t xml:space="preserve">Коннекторы</t>
        </is>
      </c>
      <c r="B473" s="312" t="inlineStr">
        <is>
          <t xml:space="preserve">Пластиковые наконечники для скрутки проводов,100шт.</t>
        </is>
      </c>
      <c r="L473" s="320">
        <f>N(L472)+(N(I473)&gt;0)</f>
        <v>0</v>
      </c>
    </row>
    <row r="474">
      <c r="A474" s="321" t="inlineStr">
        <is>
          <t xml:space="preserve">Коннекторы</t>
        </is>
      </c>
      <c r="B474" s="314" t="str">
        <f>'Коннекторы'!A47&amp;""</f>
        <v>SK-1</v>
      </c>
      <c r="C474" s="315" t="str">
        <f>'Коннекторы'!B47&amp;""</f>
        <v>Пластиковый наконечник для скрутки проводов с резьбой</v>
      </c>
      <c r="D474" s="316" t="str">
        <f>IF('Коннекторы'!H47="+","есть",IF('Коннекторы'!H47="-","нет",""))</f>
        <v>нет</v>
      </c>
      <c r="E474" s="317"/>
      <c r="F474" s="318">
        <f>IF(N('Коннекторы'!G47)&lt;=0,"по запросу",CHOOSE($K$3,IF(N('Коннекторы'!E47)&gt;0,N('Коннекторы'!E47),N('Коннекторы'!G47)),IF(N('Коннекторы'!F47)&gt;0,N('Коннекторы'!F47),N('Коннекторы'!G47)),N('Коннекторы'!G47)))</f>
        <v>162.7</v>
      </c>
      <c r="G474" s="319" t="str">
        <f>IF(I474&lt;=0,"",IF(ISNUMBER(F474),I474*F474,"по запросу"))</f>
        <v/>
      </c>
      <c r="H474" s="320">
        <f>N('Коннекторы'!I47)</f>
        <v>0</v>
      </c>
      <c r="I474" s="320">
        <f>IF(N(E474)&gt;0,N(E474),H474)</f>
        <v>0</v>
      </c>
      <c r="J474" s="320">
        <f>I474*IF(N('Коннекторы'!E47)&gt;0,N('Коннекторы'!E47),N('Коннекторы'!G47))</f>
        <v>0</v>
      </c>
      <c r="K474" s="320">
        <f>I474*IF(N('Коннекторы'!F47)&gt;0,N('Коннекторы'!F47),N('Коннекторы'!G47))</f>
        <v>0</v>
      </c>
      <c r="L474" s="320">
        <f>N(L473)+(N(I474)&gt;0)</f>
        <v>0</v>
      </c>
    </row>
    <row r="475">
      <c r="A475" s="321" t="inlineStr">
        <is>
          <t xml:space="preserve">Коннекторы</t>
        </is>
      </c>
      <c r="B475" s="314" t="str">
        <f>'Коннекторы'!A48&amp;""</f>
        <v>SK-2</v>
      </c>
      <c r="C475" s="315" t="str">
        <f>'Коннекторы'!B48&amp;""</f>
        <v>Пластиковый наконечник для скрутки проводов с резьбой</v>
      </c>
      <c r="D475" s="316" t="str">
        <f>IF('Коннекторы'!H48="+","есть",IF('Коннекторы'!H48="-","нет",""))</f>
        <v>нет</v>
      </c>
      <c r="E475" s="317"/>
      <c r="F475" s="318">
        <f>IF(N('Коннекторы'!G48)&lt;=0,"по запросу",CHOOSE($K$3,IF(N('Коннекторы'!E48)&gt;0,N('Коннекторы'!E48),N('Коннекторы'!G48)),IF(N('Коннекторы'!F48)&gt;0,N('Коннекторы'!F48),N('Коннекторы'!G48)),N('Коннекторы'!G48)))</f>
        <v>176</v>
      </c>
      <c r="G475" s="319" t="str">
        <f>IF(I475&lt;=0,"",IF(ISNUMBER(F475),I475*F475,"по запросу"))</f>
        <v/>
      </c>
      <c r="H475" s="320">
        <f>N('Коннекторы'!I48)</f>
        <v>0</v>
      </c>
      <c r="I475" s="320">
        <f>IF(N(E475)&gt;0,N(E475),H475)</f>
        <v>0</v>
      </c>
      <c r="J475" s="320">
        <f>I475*IF(N('Коннекторы'!E48)&gt;0,N('Коннекторы'!E48),N('Коннекторы'!G48))</f>
        <v>0</v>
      </c>
      <c r="K475" s="320">
        <f>I475*IF(N('Коннекторы'!F48)&gt;0,N('Коннекторы'!F48),N('Коннекторы'!G48))</f>
        <v>0</v>
      </c>
      <c r="L475" s="320">
        <f>N(L474)+(N(I475)&gt;0)</f>
        <v>0</v>
      </c>
    </row>
    <row r="476">
      <c r="A476" s="321" t="inlineStr">
        <is>
          <t xml:space="preserve">Коннекторы</t>
        </is>
      </c>
      <c r="B476" s="314" t="str">
        <f>'Коннекторы'!A49&amp;""</f>
        <v>SK-3</v>
      </c>
      <c r="C476" s="315" t="str">
        <f>'Коннекторы'!B49&amp;""</f>
        <v>Пластиковый наконечник для скрутки проводов с резьбой</v>
      </c>
      <c r="D476" s="316" t="str">
        <f>IF('Коннекторы'!H49="+","есть",IF('Коннекторы'!H49="-","нет",""))</f>
        <v>нет</v>
      </c>
      <c r="E476" s="317"/>
      <c r="F476" s="318">
        <f>IF(N('Коннекторы'!G49)&lt;=0,"по запросу",CHOOSE($K$3,IF(N('Коннекторы'!E49)&gt;0,N('Коннекторы'!E49),N('Коннекторы'!G49)),IF(N('Коннекторы'!F49)&gt;0,N('Коннекторы'!F49),N('Коннекторы'!G49)),N('Коннекторы'!G49)))</f>
        <v>204.4</v>
      </c>
      <c r="G476" s="319" t="str">
        <f>IF(I476&lt;=0,"",IF(ISNUMBER(F476),I476*F476,"по запросу"))</f>
        <v/>
      </c>
      <c r="H476" s="320">
        <f>N('Коннекторы'!I49)</f>
        <v>0</v>
      </c>
      <c r="I476" s="320">
        <f>IF(N(E476)&gt;0,N(E476),H476)</f>
        <v>0</v>
      </c>
      <c r="J476" s="320">
        <f>I476*IF(N('Коннекторы'!E49)&gt;0,N('Коннекторы'!E49),N('Коннекторы'!G49))</f>
        <v>0</v>
      </c>
      <c r="K476" s="320">
        <f>I476*IF(N('Коннекторы'!F49)&gt;0,N('Коннекторы'!F49),N('Коннекторы'!G49))</f>
        <v>0</v>
      </c>
      <c r="L476" s="320">
        <f>N(L475)+(N(I476)&gt;0)</f>
        <v>0</v>
      </c>
    </row>
    <row r="477">
      <c r="A477" s="321" t="inlineStr">
        <is>
          <t xml:space="preserve">Коннекторы</t>
        </is>
      </c>
      <c r="B477" s="314" t="str">
        <f>'Коннекторы'!A50&amp;""</f>
        <v>SK-4</v>
      </c>
      <c r="C477" s="315" t="str">
        <f>'Коннекторы'!B50&amp;""</f>
        <v>Пластиковый наконечник для скрутки проводов с резьбой</v>
      </c>
      <c r="D477" s="316" t="str">
        <f>IF('Коннекторы'!H50="+","есть",IF('Коннекторы'!H50="-","нет",""))</f>
        <v>нет</v>
      </c>
      <c r="E477" s="317"/>
      <c r="F477" s="318">
        <f>IF(N('Коннекторы'!G50)&lt;=0,"по запросу",CHOOSE($K$3,IF(N('Коннекторы'!E50)&gt;0,N('Коннекторы'!E50),N('Коннекторы'!G50)),IF(N('Коннекторы'!F50)&gt;0,N('Коннекторы'!F50),N('Коннекторы'!G50)),N('Коннекторы'!G50)))</f>
        <v>350.3</v>
      </c>
      <c r="G477" s="319" t="str">
        <f>IF(I477&lt;=0,"",IF(ISNUMBER(F477),I477*F477,"по запросу"))</f>
        <v/>
      </c>
      <c r="H477" s="320">
        <f>N('Коннекторы'!I50)</f>
        <v>0</v>
      </c>
      <c r="I477" s="320">
        <f>IF(N(E477)&gt;0,N(E477),H477)</f>
        <v>0</v>
      </c>
      <c r="J477" s="320">
        <f>I477*IF(N('Коннекторы'!E50)&gt;0,N('Коннекторы'!E50),N('Коннекторы'!G50))</f>
        <v>0</v>
      </c>
      <c r="K477" s="320">
        <f>I477*IF(N('Коннекторы'!F50)&gt;0,N('Коннекторы'!F50),N('Коннекторы'!G50))</f>
        <v>0</v>
      </c>
      <c r="L477" s="320">
        <f>N(L476)+(N(I477)&gt;0)</f>
        <v>0</v>
      </c>
    </row>
    <row r="478" ht="20" customHeight="1">
      <c r="A478" s="321" t="inlineStr">
        <is>
          <t xml:space="preserve">Коннекторы</t>
        </is>
      </c>
      <c r="B478" s="312" t="inlineStr">
        <is>
          <t xml:space="preserve">Коннекторы гильотинного типа, латунь в изоляции PP, с гидрофобным наполнением (50 шт в уп)</t>
        </is>
      </c>
      <c r="L478" s="320">
        <f>N(L477)+(N(I478)&gt;0)</f>
        <v>0</v>
      </c>
    </row>
    <row r="479">
      <c r="A479" s="321" t="inlineStr">
        <is>
          <t xml:space="preserve">Коннекторы</t>
        </is>
      </c>
      <c r="B479" s="314" t="str">
        <f>'Коннекторы'!A52&amp;""</f>
        <v>CETV 2</v>
      </c>
      <c r="C479" s="315" t="str">
        <f>'Коннекторы'!B52&amp;""</f>
        <v>Синий. 20*8*25, сеч. провода 0,5-1,5мм.</v>
      </c>
      <c r="D479" s="316" t="str">
        <f>IF('Коннекторы'!H52="+","есть",IF('Коннекторы'!H52="-","нет",""))</f>
        <v>есть</v>
      </c>
      <c r="E479" s="317"/>
      <c r="F479" s="318">
        <f>IF(N('Коннекторы'!G52)&lt;=0,"по запросу",CHOOSE($K$3,IF(N('Коннекторы'!E52)&gt;0,N('Коннекторы'!E52),N('Коннекторы'!G52)),IF(N('Коннекторы'!F52)&gt;0,N('Коннекторы'!F52),N('Коннекторы'!G52)),N('Коннекторы'!G52)))</f>
        <v>2851.6</v>
      </c>
      <c r="G479" s="319" t="str">
        <f>IF(I479&lt;=0,"",IF(ISNUMBER(F479),I479*F479,"по запросу"))</f>
        <v/>
      </c>
      <c r="H479" s="320">
        <f>N('Коннекторы'!I52)</f>
        <v>0</v>
      </c>
      <c r="I479" s="320">
        <f>IF(N(E479)&gt;0,N(E479),H479)</f>
        <v>0</v>
      </c>
      <c r="J479" s="320">
        <f>I479*IF(N('Коннекторы'!E52)&gt;0,N('Коннекторы'!E52),N('Коннекторы'!G52))</f>
        <v>0</v>
      </c>
      <c r="K479" s="320">
        <f>I479*IF(N('Коннекторы'!F52)&gt;0,N('Коннекторы'!F52),N('Коннекторы'!G52))</f>
        <v>0</v>
      </c>
      <c r="L479" s="320">
        <f>N(L478)+(N(I479)&gt;0)</f>
        <v>0</v>
      </c>
    </row>
    <row r="480" ht="20" customHeight="1">
      <c r="A480" s="321" t="inlineStr">
        <is>
          <t xml:space="preserve">Коннекторы</t>
        </is>
      </c>
      <c r="B480" s="312" t="inlineStr">
        <is>
          <t xml:space="preserve">Коннекторы гильотинного типа, латунь в изоляции PP, 100шт.</t>
        </is>
      </c>
      <c r="L480" s="320">
        <f>N(L479)+(N(I480)&gt;0)</f>
        <v>0</v>
      </c>
    </row>
    <row r="481">
      <c r="A481" s="321" t="inlineStr">
        <is>
          <t xml:space="preserve">Коннекторы</t>
        </is>
      </c>
      <c r="B481" s="314" t="str">
        <f>'Коннекторы'!A54&amp;""</f>
        <v>878100</v>
      </c>
      <c r="C481" s="315" t="str">
        <f>'Коннекторы'!B54&amp;""</f>
        <v>Красный. 20*8*25, сеч. провода 0,5-1,5мм.</v>
      </c>
      <c r="D481" s="316" t="str">
        <f>IF('Коннекторы'!H54="+","есть",IF('Коннекторы'!H54="-","нет",""))</f>
        <v>есть</v>
      </c>
      <c r="E481" s="317"/>
      <c r="F481" s="318">
        <f>IF(N('Коннекторы'!G54)&lt;=0,"по запросу",CHOOSE($K$3,IF(N('Коннекторы'!E54)&gt;0,N('Коннекторы'!E54),N('Коннекторы'!G54)),IF(N('Коннекторы'!F54)&gt;0,N('Коннекторы'!F54),N('Коннекторы'!G54)),N('Коннекторы'!G54)))</f>
        <v>574.1</v>
      </c>
      <c r="G481" s="319" t="str">
        <f>IF(I481&lt;=0,"",IF(ISNUMBER(F481),I481*F481,"по запросу"))</f>
        <v/>
      </c>
      <c r="H481" s="320">
        <f>N('Коннекторы'!I54)</f>
        <v>0</v>
      </c>
      <c r="I481" s="320">
        <f>IF(N(E481)&gt;0,N(E481),H481)</f>
        <v>0</v>
      </c>
      <c r="J481" s="320">
        <f>I481*IF(N('Коннекторы'!E54)&gt;0,N('Коннекторы'!E54),N('Коннекторы'!G54))</f>
        <v>0</v>
      </c>
      <c r="K481" s="320">
        <f>I481*IF(N('Коннекторы'!F54)&gt;0,N('Коннекторы'!F54),N('Коннекторы'!G54))</f>
        <v>0</v>
      </c>
      <c r="L481" s="320">
        <f>N(L480)+(N(I481)&gt;0)</f>
        <v>0</v>
      </c>
    </row>
    <row r="482">
      <c r="A482" s="321" t="inlineStr">
        <is>
          <t xml:space="preserve">Коннекторы</t>
        </is>
      </c>
      <c r="B482" s="314" t="str">
        <f>'Коннекторы'!A55&amp;""</f>
        <v>878101</v>
      </c>
      <c r="C482" s="315" t="str">
        <f>'Коннекторы'!B55&amp;""</f>
        <v>Голубой. 20*8*25, сеч. провода 1,5-2,5мм.</v>
      </c>
      <c r="D482" s="316" t="str">
        <f>IF('Коннекторы'!H55="+","есть",IF('Коннекторы'!H55="-","нет",""))</f>
        <v>есть</v>
      </c>
      <c r="E482" s="317"/>
      <c r="F482" s="318">
        <f>IF(N('Коннекторы'!G55)&lt;=0,"по запросу",CHOOSE($K$3,IF(N('Коннекторы'!E55)&gt;0,N('Коннекторы'!E55),N('Коннекторы'!G55)),IF(N('Коннекторы'!F55)&gt;0,N('Коннекторы'!F55),N('Коннекторы'!G55)),N('Коннекторы'!G55)))</f>
        <v>589.6</v>
      </c>
      <c r="G482" s="319" t="str">
        <f>IF(I482&lt;=0,"",IF(ISNUMBER(F482),I482*F482,"по запросу"))</f>
        <v/>
      </c>
      <c r="H482" s="320">
        <f>N('Коннекторы'!I55)</f>
        <v>0</v>
      </c>
      <c r="I482" s="320">
        <f>IF(N(E482)&gt;0,N(E482),H482)</f>
        <v>0</v>
      </c>
      <c r="J482" s="320">
        <f>I482*IF(N('Коннекторы'!E55)&gt;0,N('Коннекторы'!E55),N('Коннекторы'!G55))</f>
        <v>0</v>
      </c>
      <c r="K482" s="320">
        <f>I482*IF(N('Коннекторы'!F55)&gt;0,N('Коннекторы'!F55),N('Коннекторы'!G55))</f>
        <v>0</v>
      </c>
      <c r="L482" s="320">
        <f>N(L481)+(N(I482)&gt;0)</f>
        <v>0</v>
      </c>
    </row>
    <row r="483">
      <c r="A483" s="321" t="inlineStr">
        <is>
          <t xml:space="preserve">Коннекторы</t>
        </is>
      </c>
      <c r="B483" s="314" t="str">
        <f>'Коннекторы'!A56&amp;""</f>
        <v>878201</v>
      </c>
      <c r="C483" s="315" t="str">
        <f>'Коннекторы'!B56&amp;""</f>
        <v>Желтый, сечение провода 4-6мм.</v>
      </c>
      <c r="D483" s="316" t="str">
        <f>IF('Коннекторы'!H56="+","есть",IF('Коннекторы'!H56="-","нет",""))</f>
        <v>есть</v>
      </c>
      <c r="E483" s="317"/>
      <c r="F483" s="318">
        <f>IF(N('Коннекторы'!G56)&lt;=0,"по запросу",CHOOSE($K$3,IF(N('Коннекторы'!E56)&gt;0,N('Коннекторы'!E56),N('Коннекторы'!G56)),IF(N('Коннекторы'!F56)&gt;0,N('Коннекторы'!F56),N('Коннекторы'!G56)),N('Коннекторы'!G56)))</f>
        <v>1157.5</v>
      </c>
      <c r="G483" s="319" t="str">
        <f>IF(I483&lt;=0,"",IF(ISNUMBER(F483),I483*F483,"по запросу"))</f>
        <v/>
      </c>
      <c r="H483" s="320">
        <f>N('Коннекторы'!I56)</f>
        <v>0</v>
      </c>
      <c r="I483" s="320">
        <f>IF(N(E483)&gt;0,N(E483),H483)</f>
        <v>0</v>
      </c>
      <c r="J483" s="320">
        <f>I483*IF(N('Коннекторы'!E56)&gt;0,N('Коннекторы'!E56),N('Коннекторы'!G56))</f>
        <v>0</v>
      </c>
      <c r="K483" s="320">
        <f>I483*IF(N('Коннекторы'!F56)&gt;0,N('Коннекторы'!F56),N('Коннекторы'!G56))</f>
        <v>0</v>
      </c>
      <c r="L483" s="320">
        <f>N(L482)+(N(I483)&gt;0)</f>
        <v>0</v>
      </c>
    </row>
    <row r="484" ht="20" customHeight="1">
      <c r="A484" s="321" t="inlineStr">
        <is>
          <t xml:space="preserve">Коннекторы</t>
        </is>
      </c>
      <c r="B484" s="312" t="inlineStr">
        <is>
          <t xml:space="preserve">Коннекторы трубчатого типа в изоляции vinyl, 100шт.</t>
        </is>
      </c>
      <c r="L484" s="320">
        <f>N(L483)+(N(I484)&gt;0)</f>
        <v>0</v>
      </c>
    </row>
    <row r="485">
      <c r="A485" s="321" t="inlineStr">
        <is>
          <t xml:space="preserve">Коннекторы</t>
        </is>
      </c>
      <c r="B485" s="314" t="str">
        <f>'Коннекторы'!A58&amp;""</f>
        <v>BVS 1</v>
      </c>
      <c r="C485" s="315" t="str">
        <f>'Коннекторы'!B58&amp;""</f>
        <v>Красный, d=1,7, D=4,1,  10А   0,5-1,5мм²</v>
      </c>
      <c r="D485" s="316" t="str">
        <f>IF('Коннекторы'!H58="+","есть",IF('Коннекторы'!H58="-","нет",""))</f>
        <v>нет</v>
      </c>
      <c r="E485" s="317"/>
      <c r="F485" s="318">
        <f>IF(N('Коннекторы'!G58)&lt;=0,"по запросу",CHOOSE($K$3,IF(N('Коннекторы'!E58)&gt;0,N('Коннекторы'!E58),N('Коннекторы'!G58)),IF(N('Коннекторы'!F58)&gt;0,N('Коннекторы'!F58),N('Коннекторы'!G58)),N('Коннекторы'!G58)))</f>
        <v>533.6</v>
      </c>
      <c r="G485" s="319" t="str">
        <f>IF(I485&lt;=0,"",IF(ISNUMBER(F485),I485*F485,"по запросу"))</f>
        <v/>
      </c>
      <c r="H485" s="320">
        <f>N('Коннекторы'!I58)</f>
        <v>0</v>
      </c>
      <c r="I485" s="320">
        <f>IF(N(E485)&gt;0,N(E485),H485)</f>
        <v>0</v>
      </c>
      <c r="J485" s="320">
        <f>I485*IF(N('Коннекторы'!E58)&gt;0,N('Коннекторы'!E58),N('Коннекторы'!G58))</f>
        <v>0</v>
      </c>
      <c r="K485" s="320">
        <f>I485*IF(N('Коннекторы'!F58)&gt;0,N('Коннекторы'!F58),N('Коннекторы'!G58))</f>
        <v>0</v>
      </c>
      <c r="L485" s="320">
        <f>N(L484)+(N(I485)&gt;0)</f>
        <v>0</v>
      </c>
    </row>
    <row r="486">
      <c r="A486" s="321" t="inlineStr">
        <is>
          <t xml:space="preserve">Коннекторы</t>
        </is>
      </c>
      <c r="B486" s="314" t="str">
        <f>'Коннекторы'!A59&amp;""</f>
        <v>BVS 2</v>
      </c>
      <c r="C486" s="315" t="str">
        <f>'Коннекторы'!B59&amp;""</f>
        <v>Синий, d=2,3, D=4,5 , 15А;  1,5-2,5мм²</v>
      </c>
      <c r="D486" s="316" t="str">
        <f>IF('Коннекторы'!H59="+","есть",IF('Коннекторы'!H59="-","нет",""))</f>
        <v>нет</v>
      </c>
      <c r="E486" s="317"/>
      <c r="F486" s="318">
        <f>IF(N('Коннекторы'!G59)&lt;=0,"по запросу",CHOOSE($K$3,IF(N('Коннекторы'!E59)&gt;0,N('Коннекторы'!E59),N('Коннекторы'!G59)),IF(N('Коннекторы'!F59)&gt;0,N('Коннекторы'!F59),N('Коннекторы'!G59)),N('Коннекторы'!G59)))</f>
        <v>658.6</v>
      </c>
      <c r="G486" s="319" t="str">
        <f>IF(I486&lt;=0,"",IF(ISNUMBER(F486),I486*F486,"по запросу"))</f>
        <v/>
      </c>
      <c r="H486" s="320">
        <f>N('Коннекторы'!I59)</f>
        <v>0</v>
      </c>
      <c r="I486" s="320">
        <f>IF(N(E486)&gt;0,N(E486),H486)</f>
        <v>0</v>
      </c>
      <c r="J486" s="320">
        <f>I486*IF(N('Коннекторы'!E59)&gt;0,N('Коннекторы'!E59),N('Коннекторы'!G59))</f>
        <v>0</v>
      </c>
      <c r="K486" s="320">
        <f>I486*IF(N('Коннекторы'!F59)&gt;0,N('Коннекторы'!F59),N('Коннекторы'!G59))</f>
        <v>0</v>
      </c>
      <c r="L486" s="320">
        <f>N(L485)+(N(I486)&gt;0)</f>
        <v>0</v>
      </c>
    </row>
    <row r="487">
      <c r="A487" s="321" t="inlineStr">
        <is>
          <t xml:space="preserve">Коннекторы</t>
        </is>
      </c>
      <c r="B487" s="314" t="str">
        <f>'Коннекторы'!A60&amp;""</f>
        <v>BVS 5</v>
      </c>
      <c r="C487" s="315" t="str">
        <f>'Коннекторы'!B60&amp;""</f>
        <v>Желтый, d=3,4 D=6,5 , 24А; 4-6мм²</v>
      </c>
      <c r="D487" s="316" t="str">
        <f>IF('Коннекторы'!H60="+","есть",IF('Коннекторы'!H60="-","нет",""))</f>
        <v>нет</v>
      </c>
      <c r="E487" s="317"/>
      <c r="F487" s="318">
        <f>IF(N('Коннекторы'!G60)&lt;=0,"по запросу",CHOOSE($K$3,IF(N('Коннекторы'!E60)&gt;0,N('Коннекторы'!E60),N('Коннекторы'!G60)),IF(N('Коннекторы'!F60)&gt;0,N('Коннекторы'!F60),N('Коннекторы'!G60)),N('Коннекторы'!G60)))</f>
        <v>1137.1</v>
      </c>
      <c r="G487" s="319" t="str">
        <f>IF(I487&lt;=0,"",IF(ISNUMBER(F487),I487*F487,"по запросу"))</f>
        <v/>
      </c>
      <c r="H487" s="320">
        <f>N('Коннекторы'!I60)</f>
        <v>0</v>
      </c>
      <c r="I487" s="320">
        <f>IF(N(E487)&gt;0,N(E487),H487)</f>
        <v>0</v>
      </c>
      <c r="J487" s="320">
        <f>I487*IF(N('Коннекторы'!E60)&gt;0,N('Коннекторы'!E60),N('Коннекторы'!G60))</f>
        <v>0</v>
      </c>
      <c r="K487" s="320">
        <f>I487*IF(N('Коннекторы'!F60)&gt;0,N('Коннекторы'!F60),N('Коннекторы'!G60))</f>
        <v>0</v>
      </c>
      <c r="L487" s="320">
        <f>N(L486)+(N(I487)&gt;0)</f>
        <v>0</v>
      </c>
    </row>
    <row r="488" ht="20" customHeight="1">
      <c r="A488" s="321" t="inlineStr">
        <is>
          <t xml:space="preserve">Коннекторы</t>
        </is>
      </c>
      <c r="B488" s="312" t="inlineStr">
        <is>
          <t xml:space="preserve">Коннекторы трубчатого типа в изоляции nylon, 100шт.</t>
        </is>
      </c>
      <c r="L488" s="320">
        <f>N(L487)+(N(I488)&gt;0)</f>
        <v>0</v>
      </c>
    </row>
    <row r="489">
      <c r="A489" s="321" t="inlineStr">
        <is>
          <t xml:space="preserve">Коннекторы</t>
        </is>
      </c>
      <c r="B489" s="314" t="str">
        <f>'Коннекторы'!A62&amp;""</f>
        <v>BNY 1</v>
      </c>
      <c r="C489" s="315" t="str">
        <f>'Коннекторы'!B62&amp;""</f>
        <v>Красный, d=1,7; D=4,1; 0,5-1,5мм² ; 19А</v>
      </c>
      <c r="D489" s="316" t="str">
        <f>IF('Коннекторы'!H62="+","есть",IF('Коннекторы'!H62="-","нет",""))</f>
        <v>нет</v>
      </c>
      <c r="E489" s="317"/>
      <c r="F489" s="318">
        <f>IF(N('Коннекторы'!G62)&lt;=0,"по запросу",CHOOSE($K$3,IF(N('Коннекторы'!E62)&gt;0,N('Коннекторы'!E62),N('Коннекторы'!G62)),IF(N('Коннекторы'!F62)&gt;0,N('Коннекторы'!F62),N('Коннекторы'!G62)),N('Коннекторы'!G62)))</f>
        <v>608.6</v>
      </c>
      <c r="G489" s="319" t="str">
        <f>IF(I489&lt;=0,"",IF(ISNUMBER(F489),I489*F489,"по запросу"))</f>
        <v/>
      </c>
      <c r="H489" s="320">
        <f>N('Коннекторы'!I62)</f>
        <v>0</v>
      </c>
      <c r="I489" s="320">
        <f>IF(N(E489)&gt;0,N(E489),H489)</f>
        <v>0</v>
      </c>
      <c r="J489" s="320">
        <f>I489*IF(N('Коннекторы'!E62)&gt;0,N('Коннекторы'!E62),N('Коннекторы'!G62))</f>
        <v>0</v>
      </c>
      <c r="K489" s="320">
        <f>I489*IF(N('Коннекторы'!F62)&gt;0,N('Коннекторы'!F62),N('Коннекторы'!G62))</f>
        <v>0</v>
      </c>
      <c r="L489" s="320">
        <f>N(L488)+(N(I489)&gt;0)</f>
        <v>0</v>
      </c>
    </row>
    <row r="490">
      <c r="A490" s="321" t="inlineStr">
        <is>
          <t xml:space="preserve">Коннекторы</t>
        </is>
      </c>
      <c r="B490" s="314" t="str">
        <f>'Коннекторы'!A63&amp;""</f>
        <v>BNY 2</v>
      </c>
      <c r="C490" s="315" t="str">
        <f>'Коннекторы'!B63&amp;""</f>
        <v>Синий, d=2,3; D=4,5; 1,5-2,5мм²; 27А</v>
      </c>
      <c r="D490" s="316" t="str">
        <f>IF('Коннекторы'!H63="+","есть",IF('Коннекторы'!H63="-","нет",""))</f>
        <v>нет</v>
      </c>
      <c r="E490" s="317"/>
      <c r="F490" s="318">
        <f>IF(N('Коннекторы'!G63)&lt;=0,"по запросу",CHOOSE($K$3,IF(N('Коннекторы'!E63)&gt;0,N('Коннекторы'!E63),N('Коннекторы'!G63)),IF(N('Коннекторы'!F63)&gt;0,N('Коннекторы'!F63),N('Коннекторы'!G63)),N('Коннекторы'!G63)))</f>
        <v>780.1</v>
      </c>
      <c r="G490" s="319" t="str">
        <f>IF(I490&lt;=0,"",IF(ISNUMBER(F490),I490*F490,"по запросу"))</f>
        <v/>
      </c>
      <c r="H490" s="320">
        <f>N('Коннекторы'!I63)</f>
        <v>0</v>
      </c>
      <c r="I490" s="320">
        <f>IF(N(E490)&gt;0,N(E490),H490)</f>
        <v>0</v>
      </c>
      <c r="J490" s="320">
        <f>I490*IF(N('Коннекторы'!E63)&gt;0,N('Коннекторы'!E63),N('Коннекторы'!G63))</f>
        <v>0</v>
      </c>
      <c r="K490" s="320">
        <f>I490*IF(N('Коннекторы'!F63)&gt;0,N('Коннекторы'!F63),N('Коннекторы'!G63))</f>
        <v>0</v>
      </c>
      <c r="L490" s="320">
        <f>N(L489)+(N(I490)&gt;0)</f>
        <v>0</v>
      </c>
    </row>
    <row r="491">
      <c r="A491" s="321" t="inlineStr">
        <is>
          <t xml:space="preserve">Коннекторы</t>
        </is>
      </c>
      <c r="B491" s="314" t="str">
        <f>'Коннекторы'!A64&amp;""</f>
        <v>BNY 5</v>
      </c>
      <c r="C491" s="315" t="str">
        <f>'Коннекторы'!B64&amp;""</f>
        <v>Желтый, d=3,4; D=6,5; 4-6мм²; 48А</v>
      </c>
      <c r="D491" s="316" t="str">
        <f>IF('Коннекторы'!H64="+","есть",IF('Коннекторы'!H64="-","нет",""))</f>
        <v>нет</v>
      </c>
      <c r="E491" s="317"/>
      <c r="F491" s="318">
        <f>IF(N('Коннекторы'!G64)&lt;=0,"по запросу",CHOOSE($K$3,IF(N('Коннекторы'!E64)&gt;0,N('Коннекторы'!E64),N('Коннекторы'!G64)),IF(N('Коннекторы'!F64)&gt;0,N('Коннекторы'!F64),N('Коннекторы'!G64)),N('Коннекторы'!G64)))</f>
        <v>999.1</v>
      </c>
      <c r="G491" s="319" t="str">
        <f>IF(I491&lt;=0,"",IF(ISNUMBER(F491),I491*F491,"по запросу"))</f>
        <v/>
      </c>
      <c r="H491" s="320">
        <f>N('Коннекторы'!I64)</f>
        <v>0</v>
      </c>
      <c r="I491" s="320">
        <f>IF(N(E491)&gt;0,N(E491),H491)</f>
        <v>0</v>
      </c>
      <c r="J491" s="320">
        <f>I491*IF(N('Коннекторы'!E64)&gt;0,N('Коннекторы'!E64),N('Коннекторы'!G64))</f>
        <v>0</v>
      </c>
      <c r="K491" s="320">
        <f>I491*IF(N('Коннекторы'!F64)&gt;0,N('Коннекторы'!F64),N('Коннекторы'!G64))</f>
        <v>0</v>
      </c>
      <c r="L491" s="320">
        <f>N(L490)+(N(I491)&gt;0)</f>
        <v>0</v>
      </c>
    </row>
    <row r="492" ht="20" customHeight="1">
      <c r="A492" s="321" t="inlineStr">
        <is>
          <t xml:space="preserve">Коннекторы</t>
        </is>
      </c>
      <c r="B492" s="312" t="inlineStr">
        <is>
          <t xml:space="preserve">Коннекторы трубчатого типа в термоусадочной изоляции материал HDPE, водостойкие, 100шт.</t>
        </is>
      </c>
      <c r="L492" s="320">
        <f>N(L491)+(N(I492)&gt;0)</f>
        <v>0</v>
      </c>
    </row>
    <row r="493">
      <c r="A493" s="321" t="inlineStr">
        <is>
          <t xml:space="preserve">Коннекторы</t>
        </is>
      </c>
      <c r="B493" s="314" t="str">
        <f>'Коннекторы'!A66&amp;""</f>
        <v>BNT 1/2</v>
      </c>
      <c r="C493" s="315" t="str">
        <f>'Коннекторы'!B66&amp;""</f>
        <v>Прозрачный, d=0,8; D=2,0; 0,1-0,5мм²; 19А</v>
      </c>
      <c r="D493" s="316" t="str">
        <f>IF('Коннекторы'!H66="+","есть",IF('Коннекторы'!H66="-","нет",""))</f>
        <v>есть</v>
      </c>
      <c r="E493" s="317"/>
      <c r="F493" s="318">
        <f>IF(N('Коннекторы'!G66)&lt;=0,"по запросу",CHOOSE($K$3,IF(N('Коннекторы'!E66)&gt;0,N('Коннекторы'!E66),N('Коннекторы'!G66)),IF(N('Коннекторы'!F66)&gt;0,N('Коннекторы'!F66),N('Коннекторы'!G66)),N('Коннекторы'!G66)))</f>
        <v>1273.3</v>
      </c>
      <c r="G493" s="319" t="str">
        <f>IF(I493&lt;=0,"",IF(ISNUMBER(F493),I493*F493,"по запросу"))</f>
        <v/>
      </c>
      <c r="H493" s="320">
        <f>N('Коннекторы'!I66)</f>
        <v>0</v>
      </c>
      <c r="I493" s="320">
        <f>IF(N(E493)&gt;0,N(E493),H493)</f>
        <v>0</v>
      </c>
      <c r="J493" s="320">
        <f>I493*IF(N('Коннекторы'!E66)&gt;0,N('Коннекторы'!E66),N('Коннекторы'!G66))</f>
        <v>0</v>
      </c>
      <c r="K493" s="320">
        <f>I493*IF(N('Коннекторы'!F66)&gt;0,N('Коннекторы'!F66),N('Коннекторы'!G66))</f>
        <v>0</v>
      </c>
      <c r="L493" s="320">
        <f>N(L492)+(N(I493)&gt;0)</f>
        <v>0</v>
      </c>
    </row>
    <row r="494">
      <c r="A494" s="321" t="inlineStr">
        <is>
          <t xml:space="preserve">Коннекторы</t>
        </is>
      </c>
      <c r="B494" s="314" t="str">
        <f>'Коннекторы'!A67&amp;""</f>
        <v>BNT 1</v>
      </c>
      <c r="C494" s="315" t="str">
        <f>'Коннекторы'!B67&amp;""</f>
        <v>Красный, d=1,7; D=4,1; 0,5-1,5мм²; 19А</v>
      </c>
      <c r="D494" s="316" t="str">
        <f>IF('Коннекторы'!H67="+","есть",IF('Коннекторы'!H67="-","нет",""))</f>
        <v>есть</v>
      </c>
      <c r="E494" s="317"/>
      <c r="F494" s="318">
        <f>IF(N('Коннекторы'!G67)&lt;=0,"по запросу",CHOOSE($K$3,IF(N('Коннекторы'!E67)&gt;0,N('Коннекторы'!E67),N('Коннекторы'!G67)),IF(N('Коннекторы'!F67)&gt;0,N('Коннекторы'!F67),N('Коннекторы'!G67)),N('Коннекторы'!G67)))</f>
        <v>1585.3</v>
      </c>
      <c r="G494" s="319" t="str">
        <f>IF(I494&lt;=0,"",IF(ISNUMBER(F494),I494*F494,"по запросу"))</f>
        <v/>
      </c>
      <c r="H494" s="320">
        <f>N('Коннекторы'!I67)</f>
        <v>0</v>
      </c>
      <c r="I494" s="320">
        <f>IF(N(E494)&gt;0,N(E494),H494)</f>
        <v>0</v>
      </c>
      <c r="J494" s="320">
        <f>I494*IF(N('Коннекторы'!E67)&gt;0,N('Коннекторы'!E67),N('Коннекторы'!G67))</f>
        <v>0</v>
      </c>
      <c r="K494" s="320">
        <f>I494*IF(N('Коннекторы'!F67)&gt;0,N('Коннекторы'!F67),N('Коннекторы'!G67))</f>
        <v>0</v>
      </c>
      <c r="L494" s="320">
        <f>N(L493)+(N(I494)&gt;0)</f>
        <v>0</v>
      </c>
    </row>
    <row r="495">
      <c r="A495" s="321" t="inlineStr">
        <is>
          <t xml:space="preserve">Коннекторы</t>
        </is>
      </c>
      <c r="B495" s="314" t="str">
        <f>'Коннекторы'!A68&amp;""</f>
        <v>BNT 2</v>
      </c>
      <c r="C495" s="315" t="str">
        <f>'Коннекторы'!B68&amp;""</f>
        <v>Синий, d=2,3; D=4,5;  1,5-2,5мм², 27А</v>
      </c>
      <c r="D495" s="316" t="str">
        <f>IF('Коннекторы'!H68="+","есть",IF('Коннекторы'!H68="-","нет",""))</f>
        <v>есть</v>
      </c>
      <c r="E495" s="317"/>
      <c r="F495" s="318">
        <f>IF(N('Коннекторы'!G68)&lt;=0,"по запросу",CHOOSE($K$3,IF(N('Коннекторы'!E68)&gt;0,N('Коннекторы'!E68),N('Коннекторы'!G68)),IF(N('Коннекторы'!F68)&gt;0,N('Коннекторы'!F68),N('Коннекторы'!G68)),N('Коннекторы'!G68)))</f>
        <v>1701.1</v>
      </c>
      <c r="G495" s="319" t="str">
        <f>IF(I495&lt;=0,"",IF(ISNUMBER(F495),I495*F495,"по запросу"))</f>
        <v/>
      </c>
      <c r="H495" s="320">
        <f>N('Коннекторы'!I68)</f>
        <v>0</v>
      </c>
      <c r="I495" s="320">
        <f>IF(N(E495)&gt;0,N(E495),H495)</f>
        <v>0</v>
      </c>
      <c r="J495" s="320">
        <f>I495*IF(N('Коннекторы'!E68)&gt;0,N('Коннекторы'!E68),N('Коннекторы'!G68))</f>
        <v>0</v>
      </c>
      <c r="K495" s="320">
        <f>I495*IF(N('Коннекторы'!F68)&gt;0,N('Коннекторы'!F68),N('Коннекторы'!G68))</f>
        <v>0</v>
      </c>
      <c r="L495" s="320">
        <f>N(L494)+(N(I495)&gt;0)</f>
        <v>0</v>
      </c>
    </row>
    <row r="496">
      <c r="A496" s="321" t="inlineStr">
        <is>
          <t xml:space="preserve">Коннекторы</t>
        </is>
      </c>
      <c r="B496" s="314" t="str">
        <f>'Коннекторы'!A69&amp;""</f>
        <v>BNT 5</v>
      </c>
      <c r="C496" s="315" t="str">
        <f>'Коннекторы'!B69&amp;""</f>
        <v>Желтый, d=3,4; D=6,5; 4-6мм²; 48А</v>
      </c>
      <c r="D496" s="316" t="str">
        <f>IF('Коннекторы'!H69="+","есть",IF('Коннекторы'!H69="-","нет",""))</f>
        <v>нет</v>
      </c>
      <c r="E496" s="317"/>
      <c r="F496" s="318">
        <f>IF(N('Коннекторы'!G69)&lt;=0,"по запросу",CHOOSE($K$3,IF(N('Коннекторы'!E69)&gt;0,N('Коннекторы'!E69),N('Коннекторы'!G69)),IF(N('Коннекторы'!F69)&gt;0,N('Коннекторы'!F69),N('Коннекторы'!G69)),N('Коннекторы'!G69)))</f>
        <v>2407.4</v>
      </c>
      <c r="G496" s="319" t="str">
        <f>IF(I496&lt;=0,"",IF(ISNUMBER(F496),I496*F496,"по запросу"))</f>
        <v/>
      </c>
      <c r="H496" s="320">
        <f>N('Коннекторы'!I69)</f>
        <v>0</v>
      </c>
      <c r="I496" s="320">
        <f>IF(N(E496)&gt;0,N(E496),H496)</f>
        <v>0</v>
      </c>
      <c r="J496" s="320">
        <f>I496*IF(N('Коннекторы'!E69)&gt;0,N('Коннекторы'!E69),N('Коннекторы'!G69))</f>
        <v>0</v>
      </c>
      <c r="K496" s="320">
        <f>I496*IF(N('Коннекторы'!F69)&gt;0,N('Коннекторы'!F69),N('Коннекторы'!G69))</f>
        <v>0</v>
      </c>
      <c r="L496" s="320">
        <f>N(L495)+(N(I496)&gt;0)</f>
        <v>0</v>
      </c>
    </row>
    <row r="497" ht="20" customHeight="1">
      <c r="A497" s="321" t="inlineStr">
        <is>
          <t xml:space="preserve">Коннекторы</t>
        </is>
      </c>
      <c r="B497" s="312" t="inlineStr">
        <is>
          <t xml:space="preserve">Коннекторы трубчатого типа в термоусадочной изоляции материал Nylon, водостойкие, 100шт.</t>
        </is>
      </c>
      <c r="L497" s="320">
        <f>N(L496)+(N(I497)&gt;0)</f>
        <v>0</v>
      </c>
    </row>
    <row r="498">
      <c r="A498" s="321" t="inlineStr">
        <is>
          <t xml:space="preserve">Коннекторы</t>
        </is>
      </c>
      <c r="B498" s="314" t="str">
        <f>'Коннекторы'!A71&amp;""</f>
        <v>BNYT 1/2</v>
      </c>
      <c r="C498" s="315" t="str">
        <f>'Коннекторы'!B71&amp;""</f>
        <v>Прозрачный, d=0,8; D=2,0; 0,1-0,5мм²; 19А</v>
      </c>
      <c r="D498" s="316" t="str">
        <f>IF('Коннекторы'!H71="+","есть",IF('Коннекторы'!H71="-","нет",""))</f>
        <v>нет</v>
      </c>
      <c r="E498" s="317"/>
      <c r="F498" s="318" t="str">
        <f>IF(N('Коннекторы'!G71)&lt;=0,"по запросу",CHOOSE($K$3,IF(N('Коннекторы'!E71)&gt;0,N('Коннекторы'!E71),N('Коннекторы'!G71)),IF(N('Коннекторы'!F71)&gt;0,N('Коннекторы'!F71),N('Коннекторы'!G71)),N('Коннекторы'!G71)))</f>
        <v>по запросу</v>
      </c>
      <c r="G498" s="319" t="str">
        <f>IF(I498&lt;=0,"",IF(ISNUMBER(F498),I498*F498,"по запросу"))</f>
        <v/>
      </c>
      <c r="H498" s="320">
        <f>N('Коннекторы'!I71)</f>
        <v>0</v>
      </c>
      <c r="I498" s="320">
        <f>IF(N(E498)&gt;0,N(E498),H498)</f>
        <v>0</v>
      </c>
      <c r="J498" s="320">
        <f>I498*IF(N('Коннекторы'!E71)&gt;0,N('Коннекторы'!E71),N('Коннекторы'!G71))</f>
        <v>0</v>
      </c>
      <c r="K498" s="320">
        <f>I498*IF(N('Коннекторы'!F71)&gt;0,N('Коннекторы'!F71),N('Коннекторы'!G71))</f>
        <v>0</v>
      </c>
      <c r="L498" s="320">
        <f>N(L497)+(N(I498)&gt;0)</f>
        <v>0</v>
      </c>
    </row>
    <row r="499">
      <c r="A499" s="321" t="inlineStr">
        <is>
          <t xml:space="preserve">Коннекторы</t>
        </is>
      </c>
      <c r="B499" s="314" t="str">
        <f>'Коннекторы'!A72&amp;""</f>
        <v>BNYT 1</v>
      </c>
      <c r="C499" s="315" t="str">
        <f>'Коннекторы'!B72&amp;""</f>
        <v>Красный, d=1,7; D=4,1; 0,5-1,5мм²; 19А</v>
      </c>
      <c r="D499" s="316" t="str">
        <f>IF('Коннекторы'!H72="+","есть",IF('Коннекторы'!H72="-","нет",""))</f>
        <v>нет</v>
      </c>
      <c r="E499" s="317"/>
      <c r="F499" s="318" t="str">
        <f>IF(N('Коннекторы'!G72)&lt;=0,"по запросу",CHOOSE($K$3,IF(N('Коннекторы'!E72)&gt;0,N('Коннекторы'!E72),N('Коннекторы'!G72)),IF(N('Коннекторы'!F72)&gt;0,N('Коннекторы'!F72),N('Коннекторы'!G72)),N('Коннекторы'!G72)))</f>
        <v>по запросу</v>
      </c>
      <c r="G499" s="319" t="str">
        <f>IF(I499&lt;=0,"",IF(ISNUMBER(F499),I499*F499,"по запросу"))</f>
        <v/>
      </c>
      <c r="H499" s="320">
        <f>N('Коннекторы'!I72)</f>
        <v>0</v>
      </c>
      <c r="I499" s="320">
        <f>IF(N(E499)&gt;0,N(E499),H499)</f>
        <v>0</v>
      </c>
      <c r="J499" s="320">
        <f>I499*IF(N('Коннекторы'!E72)&gt;0,N('Коннекторы'!E72),N('Коннекторы'!G72))</f>
        <v>0</v>
      </c>
      <c r="K499" s="320">
        <f>I499*IF(N('Коннекторы'!F72)&gt;0,N('Коннекторы'!F72),N('Коннекторы'!G72))</f>
        <v>0</v>
      </c>
      <c r="L499" s="320">
        <f>N(L498)+(N(I499)&gt;0)</f>
        <v>0</v>
      </c>
    </row>
    <row r="500">
      <c r="A500" s="321" t="inlineStr">
        <is>
          <t xml:space="preserve">Коннекторы</t>
        </is>
      </c>
      <c r="B500" s="314" t="str">
        <f>'Коннекторы'!A73&amp;""</f>
        <v>BNYT 2</v>
      </c>
      <c r="C500" s="315" t="str">
        <f>'Коннекторы'!B73&amp;""</f>
        <v>Синий, d=2,3; D=4,5;  1,5-2,5мм², 27А</v>
      </c>
      <c r="D500" s="316" t="str">
        <f>IF('Коннекторы'!H73="+","есть",IF('Коннекторы'!H73="-","нет",""))</f>
        <v>нет</v>
      </c>
      <c r="E500" s="317"/>
      <c r="F500" s="318" t="str">
        <f>IF(N('Коннекторы'!G73)&lt;=0,"по запросу",CHOOSE($K$3,IF(N('Коннекторы'!E73)&gt;0,N('Коннекторы'!E73),N('Коннекторы'!G73)),IF(N('Коннекторы'!F73)&gt;0,N('Коннекторы'!F73),N('Коннекторы'!G73)),N('Коннекторы'!G73)))</f>
        <v>по запросу</v>
      </c>
      <c r="G500" s="319" t="str">
        <f>IF(I500&lt;=0,"",IF(ISNUMBER(F500),I500*F500,"по запросу"))</f>
        <v/>
      </c>
      <c r="H500" s="320">
        <f>N('Коннекторы'!I73)</f>
        <v>0</v>
      </c>
      <c r="I500" s="320">
        <f>IF(N(E500)&gt;0,N(E500),H500)</f>
        <v>0</v>
      </c>
      <c r="J500" s="320">
        <f>I500*IF(N('Коннекторы'!E73)&gt;0,N('Коннекторы'!E73),N('Коннекторы'!G73))</f>
        <v>0</v>
      </c>
      <c r="K500" s="320">
        <f>I500*IF(N('Коннекторы'!F73)&gt;0,N('Коннекторы'!F73),N('Коннекторы'!G73))</f>
        <v>0</v>
      </c>
      <c r="L500" s="320">
        <f>N(L499)+(N(I500)&gt;0)</f>
        <v>0</v>
      </c>
    </row>
    <row r="501">
      <c r="A501" s="321" t="inlineStr">
        <is>
          <t xml:space="preserve">Коннекторы</t>
        </is>
      </c>
      <c r="B501" s="314" t="str">
        <f>'Коннекторы'!A74&amp;""</f>
        <v>BNYT 5</v>
      </c>
      <c r="C501" s="315" t="str">
        <f>'Коннекторы'!B74&amp;""</f>
        <v>Желтый, d=3,4; D=6,5; 4-6мм²; 48А</v>
      </c>
      <c r="D501" s="316" t="str">
        <f>IF('Коннекторы'!H74="+","есть",IF('Коннекторы'!H74="-","нет",""))</f>
        <v>нет</v>
      </c>
      <c r="E501" s="317"/>
      <c r="F501" s="318" t="str">
        <f>IF(N('Коннекторы'!G74)&lt;=0,"по запросу",CHOOSE($K$3,IF(N('Коннекторы'!E74)&gt;0,N('Коннекторы'!E74),N('Коннекторы'!G74)),IF(N('Коннекторы'!F74)&gt;0,N('Коннекторы'!F74),N('Коннекторы'!G74)),N('Коннекторы'!G74)))</f>
        <v>по запросу</v>
      </c>
      <c r="G501" s="319" t="str">
        <f>IF(I501&lt;=0,"",IF(ISNUMBER(F501),I501*F501,"по запросу"))</f>
        <v/>
      </c>
      <c r="H501" s="320">
        <f>N('Коннекторы'!I74)</f>
        <v>0</v>
      </c>
      <c r="I501" s="320">
        <f>IF(N(E501)&gt;0,N(E501),H501)</f>
        <v>0</v>
      </c>
      <c r="J501" s="320">
        <f>I501*IF(N('Коннекторы'!E74)&gt;0,N('Коннекторы'!E74),N('Коннекторы'!G74))</f>
        <v>0</v>
      </c>
      <c r="K501" s="320">
        <f>I501*IF(N('Коннекторы'!F74)&gt;0,N('Коннекторы'!F74),N('Коннекторы'!G74))</f>
        <v>0</v>
      </c>
      <c r="L501" s="320">
        <f>N(L500)+(N(I501)&gt;0)</f>
        <v>0</v>
      </c>
    </row>
    <row r="502" ht="20" customHeight="1">
      <c r="A502" s="321" t="inlineStr">
        <is>
          <t xml:space="preserve">Коннекторы</t>
        </is>
      </c>
      <c r="B502" s="312" t="inlineStr">
        <is>
          <t xml:space="preserve">Соединители встык без изоляции, латунь, 100шт.</t>
        </is>
      </c>
      <c r="L502" s="320">
        <f>N(L501)+(N(I502)&gt;0)</f>
        <v>0</v>
      </c>
    </row>
    <row r="503">
      <c r="A503" s="321" t="inlineStr">
        <is>
          <t xml:space="preserve">Коннекторы</t>
        </is>
      </c>
      <c r="B503" s="314" t="str">
        <f>'Коннекторы'!A76&amp;""</f>
        <v>LRBs 1</v>
      </c>
      <c r="C503" s="315" t="str">
        <f>'Коннекторы'!B76&amp;""</f>
        <v>Соединитель встык луженый, для проводов 1,0-1,5 мм кв.  L=14,8мм, D=3,2мм</v>
      </c>
      <c r="D503" s="316" t="str">
        <f>IF('Коннекторы'!H76="+","есть",IF('Коннекторы'!H76="-","нет",""))</f>
        <v>есть</v>
      </c>
      <c r="E503" s="317"/>
      <c r="F503" s="318">
        <f>IF(N('Коннекторы'!G76)&lt;=0,"по запросу",CHOOSE($K$3,IF(N('Коннекторы'!E76)&gt;0,N('Коннекторы'!E76),N('Коннекторы'!G76)),IF(N('Коннекторы'!F76)&gt;0,N('Коннекторы'!F76),N('Коннекторы'!G76)),N('Коннекторы'!G76)))</f>
        <v>202.5</v>
      </c>
      <c r="G503" s="319" t="str">
        <f>IF(I503&lt;=0,"",IF(ISNUMBER(F503),I503*F503,"по запросу"))</f>
        <v/>
      </c>
      <c r="H503" s="320">
        <f>N('Коннекторы'!I76)</f>
        <v>0</v>
      </c>
      <c r="I503" s="320">
        <f>IF(N(E503)&gt;0,N(E503),H503)</f>
        <v>0</v>
      </c>
      <c r="J503" s="320">
        <f>I503*IF(N('Коннекторы'!E76)&gt;0,N('Коннекторы'!E76),N('Коннекторы'!G76))</f>
        <v>0</v>
      </c>
      <c r="K503" s="320">
        <f>I503*IF(N('Коннекторы'!F76)&gt;0,N('Коннекторы'!F76),N('Коннекторы'!G76))</f>
        <v>0</v>
      </c>
      <c r="L503" s="320">
        <f>N(L502)+(N(I503)&gt;0)</f>
        <v>0</v>
      </c>
    </row>
    <row r="504">
      <c r="A504" s="321" t="inlineStr">
        <is>
          <t xml:space="preserve">Коннекторы</t>
        </is>
      </c>
      <c r="B504" s="314" t="str">
        <f>'Коннекторы'!A77&amp;""</f>
        <v>LRBs 2</v>
      </c>
      <c r="C504" s="315" t="str">
        <f>'Коннекторы'!B77&amp;""</f>
        <v>Соединитель встык луженый, для проводов 2,0-2,5 мм кв., L=15,2мм, D=4,8мм</v>
      </c>
      <c r="D504" s="316" t="str">
        <f>IF('Коннекторы'!H77="+","есть",IF('Коннекторы'!H77="-","нет",""))</f>
        <v>есть</v>
      </c>
      <c r="E504" s="317"/>
      <c r="F504" s="318">
        <f>IF(N('Коннекторы'!G77)&lt;=0,"по запросу",CHOOSE($K$3,IF(N('Коннекторы'!E77)&gt;0,N('Коннекторы'!E77),N('Коннекторы'!G77)),IF(N('Коннекторы'!F77)&gt;0,N('Коннекторы'!F77),N('Коннекторы'!G77)),N('Коннекторы'!G77)))</f>
        <v>258.4</v>
      </c>
      <c r="G504" s="319" t="str">
        <f>IF(I504&lt;=0,"",IF(ISNUMBER(F504),I504*F504,"по запросу"))</f>
        <v/>
      </c>
      <c r="H504" s="320">
        <f>N('Коннекторы'!I77)</f>
        <v>0</v>
      </c>
      <c r="I504" s="320">
        <f>IF(N(E504)&gt;0,N(E504),H504)</f>
        <v>0</v>
      </c>
      <c r="J504" s="320">
        <f>I504*IF(N('Коннекторы'!E77)&gt;0,N('Коннекторы'!E77),N('Коннекторы'!G77))</f>
        <v>0</v>
      </c>
      <c r="K504" s="320">
        <f>I504*IF(N('Коннекторы'!F77)&gt;0,N('Коннекторы'!F77),N('Коннекторы'!G77))</f>
        <v>0</v>
      </c>
      <c r="L504" s="320">
        <f>N(L503)+(N(I504)&gt;0)</f>
        <v>0</v>
      </c>
    </row>
    <row r="505" ht="20" customHeight="1">
      <c r="A505" s="321" t="inlineStr">
        <is>
          <t xml:space="preserve">Коннекторы</t>
        </is>
      </c>
      <c r="B505" s="312" t="inlineStr">
        <is>
          <t xml:space="preserve">Коннекторы без изоляции, "мамы" и "папы", латунь, 100шт.</t>
        </is>
      </c>
      <c r="L505" s="320">
        <f>N(L504)+(N(I505)&gt;0)</f>
        <v>0</v>
      </c>
    </row>
    <row r="506">
      <c r="A506" s="321" t="inlineStr">
        <is>
          <t xml:space="preserve">Коннекторы</t>
        </is>
      </c>
      <c r="B506" s="314" t="str">
        <f>'Коннекторы'!A79&amp;""</f>
        <v>351 LR-0,8</v>
      </c>
      <c r="C506" s="315" t="str">
        <f>'Коннекторы'!B79&amp;""</f>
        <v>Цилиндр.коннектор "папа". Вх. размер 3,5мм, сечение провода 0,5-0,8мм²</v>
      </c>
      <c r="D506" s="316" t="str">
        <f>IF('Коннекторы'!H79="+","есть",IF('Коннекторы'!H79="-","нет",""))</f>
        <v>есть</v>
      </c>
      <c r="E506" s="317"/>
      <c r="F506" s="318">
        <f>IF(N('Коннекторы'!G79)&lt;=0,"по запросу",CHOOSE($K$3,IF(N('Коннекторы'!E79)&gt;0,N('Коннекторы'!E79),N('Коннекторы'!G79)),IF(N('Коннекторы'!F79)&gt;0,N('Коннекторы'!F79),N('Коннекторы'!G79)),N('Коннекторы'!G79)))</f>
        <v>270.3</v>
      </c>
      <c r="G506" s="319" t="str">
        <f>IF(I506&lt;=0,"",IF(ISNUMBER(F506),I506*F506,"по запросу"))</f>
        <v/>
      </c>
      <c r="H506" s="320">
        <f>N('Коннекторы'!I79)</f>
        <v>0</v>
      </c>
      <c r="I506" s="320">
        <f>IF(N(E506)&gt;0,N(E506),H506)</f>
        <v>0</v>
      </c>
      <c r="J506" s="320">
        <f>I506*IF(N('Коннекторы'!E79)&gt;0,N('Коннекторы'!E79),N('Коннекторы'!G79))</f>
        <v>0</v>
      </c>
      <c r="K506" s="320">
        <f>I506*IF(N('Коннекторы'!F79)&gt;0,N('Коннекторы'!F79),N('Коннекторы'!G79))</f>
        <v>0</v>
      </c>
      <c r="L506" s="320">
        <f>N(L505)+(N(I506)&gt;0)</f>
        <v>0</v>
      </c>
    </row>
    <row r="507">
      <c r="A507" s="321" t="inlineStr">
        <is>
          <t xml:space="preserve">Коннекторы</t>
        </is>
      </c>
      <c r="B507" s="314" t="str">
        <f>'Коннекторы'!A80&amp;""</f>
        <v>352 LR-0,8</v>
      </c>
      <c r="C507" s="315" t="str">
        <f>'Коннекторы'!B80&amp;""</f>
        <v>Цилиндр/ коннектор "мама". Вх. размер 3,5мм, стоппер, сечение провода 0,5-0,8мм²</v>
      </c>
      <c r="D507" s="316" t="str">
        <f>IF('Коннекторы'!H80="+","есть",IF('Коннекторы'!H80="-","нет",""))</f>
        <v>есть</v>
      </c>
      <c r="E507" s="317"/>
      <c r="F507" s="318">
        <f>IF(N('Коннекторы'!G80)&lt;=0,"по запросу",CHOOSE($K$3,IF(N('Коннекторы'!E80)&gt;0,N('Коннекторы'!E80),N('Коннекторы'!G80)),IF(N('Коннекторы'!F80)&gt;0,N('Коннекторы'!F80),N('Коннекторы'!G80)),N('Коннекторы'!G80)))</f>
        <v>270.3</v>
      </c>
      <c r="G507" s="319" t="str">
        <f>IF(I507&lt;=0,"",IF(ISNUMBER(F507),I507*F507,"по запросу"))</f>
        <v/>
      </c>
      <c r="H507" s="320">
        <f>N('Коннекторы'!I80)</f>
        <v>0</v>
      </c>
      <c r="I507" s="320">
        <f>IF(N(E507)&gt;0,N(E507),H507)</f>
        <v>0</v>
      </c>
      <c r="J507" s="320">
        <f>I507*IF(N('Коннекторы'!E80)&gt;0,N('Коннекторы'!E80),N('Коннекторы'!G80))</f>
        <v>0</v>
      </c>
      <c r="K507" s="320">
        <f>I507*IF(N('Коннекторы'!F80)&gt;0,N('Коннекторы'!F80),N('Коннекторы'!G80))</f>
        <v>0</v>
      </c>
      <c r="L507" s="320">
        <f>N(L506)+(N(I507)&gt;0)</f>
        <v>0</v>
      </c>
    </row>
    <row r="508">
      <c r="A508" s="321" t="inlineStr">
        <is>
          <t xml:space="preserve">Коннекторы</t>
        </is>
      </c>
      <c r="B508" s="314" t="str">
        <f>'Коннекторы'!A81&amp;""</f>
        <v>401 LR-0,8</v>
      </c>
      <c r="C508" s="315" t="str">
        <f>'Коннекторы'!B81&amp;""</f>
        <v>Цилиндр.коннектор "папа". Вх. размер 4,0мм,  сечение провода 0,5-0,8мм²</v>
      </c>
      <c r="D508" s="316" t="str">
        <f>IF('Коннекторы'!H81="+","есть",IF('Коннекторы'!H81="-","нет",""))</f>
        <v>есть</v>
      </c>
      <c r="E508" s="317"/>
      <c r="F508" s="318">
        <f>IF(N('Коннекторы'!G81)&lt;=0,"по запросу",CHOOSE($K$3,IF(N('Коннекторы'!E81)&gt;0,N('Коннекторы'!E81),N('Коннекторы'!G81)),IF(N('Коннекторы'!F81)&gt;0,N('Коннекторы'!F81),N('Коннекторы'!G81)),N('Коннекторы'!G81)))</f>
        <v>270.3</v>
      </c>
      <c r="G508" s="319" t="str">
        <f>IF(I508&lt;=0,"",IF(ISNUMBER(F508),I508*F508,"по запросу"))</f>
        <v/>
      </c>
      <c r="H508" s="320">
        <f>N('Коннекторы'!I81)</f>
        <v>0</v>
      </c>
      <c r="I508" s="320">
        <f>IF(N(E508)&gt;0,N(E508),H508)</f>
        <v>0</v>
      </c>
      <c r="J508" s="320">
        <f>I508*IF(N('Коннекторы'!E81)&gt;0,N('Коннекторы'!E81),N('Коннекторы'!G81))</f>
        <v>0</v>
      </c>
      <c r="K508" s="320">
        <f>I508*IF(N('Коннекторы'!F81)&gt;0,N('Коннекторы'!F81),N('Коннекторы'!G81))</f>
        <v>0</v>
      </c>
      <c r="L508" s="320">
        <f>N(L507)+(N(I508)&gt;0)</f>
        <v>0</v>
      </c>
    </row>
    <row r="509">
      <c r="A509" s="321" t="inlineStr">
        <is>
          <t xml:space="preserve">Коннекторы</t>
        </is>
      </c>
      <c r="B509" s="314" t="str">
        <f>'Коннекторы'!A82&amp;""</f>
        <v>402 LR-0,8</v>
      </c>
      <c r="C509" s="315" t="str">
        <f>'Коннекторы'!B82&amp;""</f>
        <v>Цилиндр.коннектор "мама". Вх. размер 4,0мм, стоппер,  сечение провода 0,5-0,8мм²</v>
      </c>
      <c r="D509" s="316" t="str">
        <f>IF('Коннекторы'!H82="+","есть",IF('Коннекторы'!H82="-","нет",""))</f>
        <v>есть</v>
      </c>
      <c r="E509" s="317"/>
      <c r="F509" s="318">
        <f>IF(N('Коннекторы'!G82)&lt;=0,"по запросу",CHOOSE($K$3,IF(N('Коннекторы'!E82)&gt;0,N('Коннекторы'!E82),N('Коннекторы'!G82)),IF(N('Коннекторы'!F82)&gt;0,N('Коннекторы'!F82),N('Коннекторы'!G82)),N('Коннекторы'!G82)))</f>
        <v>270.3</v>
      </c>
      <c r="G509" s="319" t="str">
        <f>IF(I509&lt;=0,"",IF(ISNUMBER(F509),I509*F509,"по запросу"))</f>
        <v/>
      </c>
      <c r="H509" s="320">
        <f>N('Коннекторы'!I82)</f>
        <v>0</v>
      </c>
      <c r="I509" s="320">
        <f>IF(N(E509)&gt;0,N(E509),H509)</f>
        <v>0</v>
      </c>
      <c r="J509" s="320">
        <f>I509*IF(N('Коннекторы'!E82)&gt;0,N('Коннекторы'!E82),N('Коннекторы'!G82))</f>
        <v>0</v>
      </c>
      <c r="K509" s="320">
        <f>I509*IF(N('Коннекторы'!F82)&gt;0,N('Коннекторы'!F82),N('Коннекторы'!G82))</f>
        <v>0</v>
      </c>
      <c r="L509" s="320">
        <f>N(L508)+(N(I509)&gt;0)</f>
        <v>0</v>
      </c>
    </row>
    <row r="510">
      <c r="A510" s="321" t="inlineStr">
        <is>
          <t xml:space="preserve">Коннекторы</t>
        </is>
      </c>
      <c r="B510" s="314" t="str">
        <f>'Коннекторы'!A83&amp;""</f>
        <v>501 LR-0,8</v>
      </c>
      <c r="C510" s="315" t="str">
        <f>'Коннекторы'!B83&amp;""</f>
        <v>Плоский коннектор "папа". Входной размер 6,3х0,8мм,  сечение провода 0,5-0,8мм²</v>
      </c>
      <c r="D510" s="316" t="str">
        <f>IF('Коннекторы'!H83="+","есть",IF('Коннекторы'!H83="-","нет",""))</f>
        <v>есть</v>
      </c>
      <c r="E510" s="317"/>
      <c r="F510" s="318">
        <f>IF(N('Коннекторы'!G83)&lt;=0,"по запросу",CHOOSE($K$3,IF(N('Коннекторы'!E83)&gt;0,N('Коннекторы'!E83),N('Коннекторы'!G83)),IF(N('Коннекторы'!F83)&gt;0,N('Коннекторы'!F83),N('Коннекторы'!G83)),N('Коннекторы'!G83)))</f>
        <v>322.7</v>
      </c>
      <c r="G510" s="319" t="str">
        <f>IF(I510&lt;=0,"",IF(ISNUMBER(F510),I510*F510,"по запросу"))</f>
        <v/>
      </c>
      <c r="H510" s="320">
        <f>N('Коннекторы'!I83)</f>
        <v>0</v>
      </c>
      <c r="I510" s="320">
        <f>IF(N(E510)&gt;0,N(E510),H510)</f>
        <v>0</v>
      </c>
      <c r="J510" s="320">
        <f>I510*IF(N('Коннекторы'!E83)&gt;0,N('Коннекторы'!E83),N('Коннекторы'!G83))</f>
        <v>0</v>
      </c>
      <c r="K510" s="320">
        <f>I510*IF(N('Коннекторы'!F83)&gt;0,N('Коннекторы'!F83),N('Коннекторы'!G83))</f>
        <v>0</v>
      </c>
      <c r="L510" s="320">
        <f>N(L509)+(N(I510)&gt;0)</f>
        <v>0</v>
      </c>
    </row>
    <row r="511">
      <c r="A511" s="321" t="inlineStr">
        <is>
          <t xml:space="preserve">Коннекторы</t>
        </is>
      </c>
      <c r="B511" s="314" t="str">
        <f>'Коннекторы'!A84&amp;""</f>
        <v>905 LR-0,8</v>
      </c>
      <c r="C511" s="315" t="str">
        <f>'Коннекторы'!B84&amp;""</f>
        <v>Плоский. коннектор "папа". Вх. размер 6,3х0,8мм, стоппер,  сечение провода 0,5-0,8мм²</v>
      </c>
      <c r="D511" s="316" t="str">
        <f>IF('Коннекторы'!H84="+","есть",IF('Коннекторы'!H84="-","нет",""))</f>
        <v>есть</v>
      </c>
      <c r="E511" s="317"/>
      <c r="F511" s="318">
        <f>IF(N('Коннекторы'!G84)&lt;=0,"по запросу",CHOOSE($K$3,IF(N('Коннекторы'!E84)&gt;0,N('Коннекторы'!E84),N('Коннекторы'!G84)),IF(N('Коннекторы'!F84)&gt;0,N('Коннекторы'!F84),N('Коннекторы'!G84)),N('Коннекторы'!G84)))</f>
        <v>339.5</v>
      </c>
      <c r="G511" s="319" t="str">
        <f>IF(I511&lt;=0,"",IF(ISNUMBER(F511),I511*F511,"по запросу"))</f>
        <v/>
      </c>
      <c r="H511" s="320">
        <f>N('Коннекторы'!I84)</f>
        <v>0</v>
      </c>
      <c r="I511" s="320">
        <f>IF(N(E511)&gt;0,N(E511),H511)</f>
        <v>0</v>
      </c>
      <c r="J511" s="320">
        <f>I511*IF(N('Коннекторы'!E84)&gt;0,N('Коннекторы'!E84),N('Коннекторы'!G84))</f>
        <v>0</v>
      </c>
      <c r="K511" s="320">
        <f>I511*IF(N('Коннекторы'!F84)&gt;0,N('Коннекторы'!F84),N('Коннекторы'!G84))</f>
        <v>0</v>
      </c>
      <c r="L511" s="320">
        <f>N(L510)+(N(I511)&gt;0)</f>
        <v>0</v>
      </c>
    </row>
    <row r="512">
      <c r="A512" s="321" t="inlineStr">
        <is>
          <t xml:space="preserve">Коннекторы</t>
        </is>
      </c>
      <c r="B512" s="314" t="str">
        <f>'Коннекторы'!A85&amp;""</f>
        <v>601 LR-0,8</v>
      </c>
      <c r="C512" s="315" t="str">
        <f>'Коннекторы'!B85&amp;""</f>
        <v>Плоский. коннектор "мама". Вх. размер 6,3х0,8мм, стоппер,  сечение провода 0,5-0,8мм²</v>
      </c>
      <c r="D512" s="316" t="str">
        <f>IF('Коннекторы'!H85="+","есть",IF('Коннекторы'!H85="-","нет",""))</f>
        <v>есть</v>
      </c>
      <c r="E512" s="317"/>
      <c r="F512" s="318">
        <f>IF(N('Коннекторы'!G85)&lt;=0,"по запросу",CHOOSE($K$3,IF(N('Коннекторы'!E85)&gt;0,N('Коннекторы'!E85),N('Коннекторы'!G85)),IF(N('Коннекторы'!F85)&gt;0,N('Коннекторы'!F85),N('Коннекторы'!G85)),N('Коннекторы'!G85)))</f>
        <v>322.7</v>
      </c>
      <c r="G512" s="319" t="str">
        <f>IF(I512&lt;=0,"",IF(ISNUMBER(F512),I512*F512,"по запросу"))</f>
        <v/>
      </c>
      <c r="H512" s="320">
        <f>N('Коннекторы'!I85)</f>
        <v>0</v>
      </c>
      <c r="I512" s="320">
        <f>IF(N(E512)&gt;0,N(E512),H512)</f>
        <v>0</v>
      </c>
      <c r="J512" s="320">
        <f>I512*IF(N('Коннекторы'!E85)&gt;0,N('Коннекторы'!E85),N('Коннекторы'!G85))</f>
        <v>0</v>
      </c>
      <c r="K512" s="320">
        <f>I512*IF(N('Коннекторы'!F85)&gt;0,N('Коннекторы'!F85),N('Коннекторы'!G85))</f>
        <v>0</v>
      </c>
      <c r="L512" s="320">
        <f>N(L511)+(N(I512)&gt;0)</f>
        <v>0</v>
      </c>
    </row>
    <row r="513">
      <c r="A513" s="321" t="inlineStr">
        <is>
          <t xml:space="preserve">Коннекторы</t>
        </is>
      </c>
      <c r="B513" s="314" t="str">
        <f>'Коннекторы'!A86&amp;""</f>
        <v>617 LR-0,8</v>
      </c>
      <c r="C513" s="315" t="str">
        <f>'Коннекторы'!B86&amp;""</f>
        <v>Плоский. коннектор "мама". Вх. размер 6,3мм, 2 прорези, сечение провода 0,5-0,8мм²</v>
      </c>
      <c r="D513" s="316" t="str">
        <f>IF('Коннекторы'!H86="+","есть",IF('Коннекторы'!H86="-","нет",""))</f>
        <v>есть</v>
      </c>
      <c r="E513" s="317"/>
      <c r="F513" s="318">
        <f>IF(N('Коннекторы'!G86)&lt;=0,"по запросу",CHOOSE($K$3,IF(N('Коннекторы'!E86)&gt;0,N('Коннекторы'!E86),N('Коннекторы'!G86)),IF(N('Коннекторы'!F86)&gt;0,N('Коннекторы'!F86),N('Коннекторы'!G86)),N('Коннекторы'!G86)))</f>
        <v>322.7</v>
      </c>
      <c r="G513" s="319" t="str">
        <f>IF(I513&lt;=0,"",IF(ISNUMBER(F513),I513*F513,"по запросу"))</f>
        <v/>
      </c>
      <c r="H513" s="320">
        <f>N('Коннекторы'!I86)</f>
        <v>0</v>
      </c>
      <c r="I513" s="320">
        <f>IF(N(E513)&gt;0,N(E513),H513)</f>
        <v>0</v>
      </c>
      <c r="J513" s="320">
        <f>I513*IF(N('Коннекторы'!E86)&gt;0,N('Коннекторы'!E86),N('Коннекторы'!G86))</f>
        <v>0</v>
      </c>
      <c r="K513" s="320">
        <f>I513*IF(N('Коннекторы'!F86)&gt;0,N('Коннекторы'!F86),N('Коннекторы'!G86))</f>
        <v>0</v>
      </c>
      <c r="L513" s="320">
        <f>N(L512)+(N(I513)&gt;0)</f>
        <v>0</v>
      </c>
    </row>
    <row r="514">
      <c r="A514" s="321" t="inlineStr">
        <is>
          <t xml:space="preserve">Коннекторы</t>
        </is>
      </c>
      <c r="B514" s="314" t="str">
        <f>'Коннекторы'!A87&amp;""</f>
        <v>501 LR-1,5</v>
      </c>
      <c r="C514" s="315" t="str">
        <f>'Коннекторы'!B87&amp;""</f>
        <v>Плоский коннектор "папа". Вх.размер 6,3мм,  сечение провода 1-1,5мм²</v>
      </c>
      <c r="D514" s="316" t="str">
        <f>IF('Коннекторы'!H87="+","есть",IF('Коннекторы'!H87="-","нет",""))</f>
        <v>есть</v>
      </c>
      <c r="E514" s="317"/>
      <c r="F514" s="318">
        <f>IF(N('Коннекторы'!G87)&lt;=0,"по запросу",CHOOSE($K$3,IF(N('Коннекторы'!E87)&gt;0,N('Коннекторы'!E87),N('Коннекторы'!G87)),IF(N('Коннекторы'!F87)&gt;0,N('Коннекторы'!F87),N('Коннекторы'!G87)),N('Коннекторы'!G87)))</f>
        <v>339.5</v>
      </c>
      <c r="G514" s="319" t="str">
        <f>IF(I514&lt;=0,"",IF(ISNUMBER(F514),I514*F514,"по запросу"))</f>
        <v/>
      </c>
      <c r="H514" s="320">
        <f>N('Коннекторы'!I87)</f>
        <v>0</v>
      </c>
      <c r="I514" s="320">
        <f>IF(N(E514)&gt;0,N(E514),H514)</f>
        <v>0</v>
      </c>
      <c r="J514" s="320">
        <f>I514*IF(N('Коннекторы'!E87)&gt;0,N('Коннекторы'!E87),N('Коннекторы'!G87))</f>
        <v>0</v>
      </c>
      <c r="K514" s="320">
        <f>I514*IF(N('Коннекторы'!F87)&gt;0,N('Коннекторы'!F87),N('Коннекторы'!G87))</f>
        <v>0</v>
      </c>
      <c r="L514" s="320">
        <f>N(L513)+(N(I514)&gt;0)</f>
        <v>0</v>
      </c>
    </row>
    <row r="515">
      <c r="A515" s="321" t="inlineStr">
        <is>
          <t xml:space="preserve">Коннекторы</t>
        </is>
      </c>
      <c r="B515" s="314" t="str">
        <f>'Коннекторы'!A88&amp;""</f>
        <v>601 LR-1,5</v>
      </c>
      <c r="C515" s="315" t="str">
        <f>'Коннекторы'!B88&amp;""</f>
        <v>Плоский. коннектор "мама". Вх. размер 6,3мм, стоппер,  сечение провода 1-1,5мм²</v>
      </c>
      <c r="D515" s="316" t="str">
        <f>IF('Коннекторы'!H88="+","есть",IF('Коннекторы'!H88="-","нет",""))</f>
        <v>есть</v>
      </c>
      <c r="E515" s="317"/>
      <c r="F515" s="318">
        <f>IF(N('Коннекторы'!G88)&lt;=0,"по запросу",CHOOSE($K$3,IF(N('Коннекторы'!E88)&gt;0,N('Коннекторы'!E88),N('Коннекторы'!G88)),IF(N('Коннекторы'!F88)&gt;0,N('Коннекторы'!F88),N('Коннекторы'!G88)),N('Коннекторы'!G88)))</f>
        <v>339.5</v>
      </c>
      <c r="G515" s="319" t="str">
        <f>IF(I515&lt;=0,"",IF(ISNUMBER(F515),I515*F515,"по запросу"))</f>
        <v/>
      </c>
      <c r="H515" s="320">
        <f>N('Коннекторы'!I88)</f>
        <v>0</v>
      </c>
      <c r="I515" s="320">
        <f>IF(N(E515)&gt;0,N(E515),H515)</f>
        <v>0</v>
      </c>
      <c r="J515" s="320">
        <f>I515*IF(N('Коннекторы'!E88)&gt;0,N('Коннекторы'!E88),N('Коннекторы'!G88))</f>
        <v>0</v>
      </c>
      <c r="K515" s="320">
        <f>I515*IF(N('Коннекторы'!F88)&gt;0,N('Коннекторы'!F88),N('Коннекторы'!G88))</f>
        <v>0</v>
      </c>
      <c r="L515" s="320">
        <f>N(L514)+(N(I515)&gt;0)</f>
        <v>0</v>
      </c>
    </row>
    <row r="516">
      <c r="A516" s="321" t="inlineStr">
        <is>
          <t xml:space="preserve">Коннекторы</t>
        </is>
      </c>
      <c r="B516" s="314" t="str">
        <f>'Коннекторы'!A89&amp;""</f>
        <v>607 LRs-1,5</v>
      </c>
      <c r="C516" s="315" t="str">
        <f>'Коннекторы'!B89&amp;""</f>
        <v>Плоский. коннектор "мама". Вх. размер 6,3мм, гладкий, луженый, сечение провода 1-1,5мм²</v>
      </c>
      <c r="D516" s="316" t="str">
        <f>IF('Коннекторы'!H89="+","есть",IF('Коннекторы'!H89="-","нет",""))</f>
        <v>нет</v>
      </c>
      <c r="E516" s="317"/>
      <c r="F516" s="318">
        <f>IF(N('Коннекторы'!G89)&lt;=0,"по запросу",CHOOSE($K$3,IF(N('Коннекторы'!E89)&gt;0,N('Коннекторы'!E89),N('Коннекторы'!G89)),IF(N('Коннекторы'!F89)&gt;0,N('Коннекторы'!F89),N('Коннекторы'!G89)),N('Коннекторы'!G89)))</f>
        <v>339.5</v>
      </c>
      <c r="G516" s="319" t="str">
        <f>IF(I516&lt;=0,"",IF(ISNUMBER(F516),I516*F516,"по запросу"))</f>
        <v/>
      </c>
      <c r="H516" s="320">
        <f>N('Коннекторы'!I89)</f>
        <v>0</v>
      </c>
      <c r="I516" s="320">
        <f>IF(N(E516)&gt;0,N(E516),H516)</f>
        <v>0</v>
      </c>
      <c r="J516" s="320">
        <f>I516*IF(N('Коннекторы'!E89)&gt;0,N('Коннекторы'!E89),N('Коннекторы'!G89))</f>
        <v>0</v>
      </c>
      <c r="K516" s="320">
        <f>I516*IF(N('Коннекторы'!F89)&gt;0,N('Коннекторы'!F89),N('Коннекторы'!G89))</f>
        <v>0</v>
      </c>
      <c r="L516" s="320">
        <f>N(L515)+(N(I516)&gt;0)</f>
        <v>0</v>
      </c>
    </row>
    <row r="517">
      <c r="A517" s="321" t="inlineStr">
        <is>
          <t xml:space="preserve">Коннекторы</t>
        </is>
      </c>
      <c r="B517" s="314" t="str">
        <f>'Коннекторы'!A90&amp;""</f>
        <v>617 LR-1,5</v>
      </c>
      <c r="C517" s="315" t="str">
        <f>'Коннекторы'!B90&amp;""</f>
        <v>Плоский. коннектор "мама". Вх. размер 6,3мм, 2 прорези, сечение провода 1-1,5мм²</v>
      </c>
      <c r="D517" s="316" t="str">
        <f>IF('Коннекторы'!H90="+","есть",IF('Коннекторы'!H90="-","нет",""))</f>
        <v>есть</v>
      </c>
      <c r="E517" s="317"/>
      <c r="F517" s="318">
        <f>IF(N('Коннекторы'!G90)&lt;=0,"по запросу",CHOOSE($K$3,IF(N('Коннекторы'!E90)&gt;0,N('Коннекторы'!E90),N('Коннекторы'!G90)),IF(N('Коннекторы'!F90)&gt;0,N('Коннекторы'!F90),N('Коннекторы'!G90)),N('Коннекторы'!G90)))</f>
        <v>339.5</v>
      </c>
      <c r="G517" s="319" t="str">
        <f>IF(I517&lt;=0,"",IF(ISNUMBER(F517),I517*F517,"по запросу"))</f>
        <v/>
      </c>
      <c r="H517" s="320">
        <f>N('Коннекторы'!I90)</f>
        <v>0</v>
      </c>
      <c r="I517" s="320">
        <f>IF(N(E517)&gt;0,N(E517),H517)</f>
        <v>0</v>
      </c>
      <c r="J517" s="320">
        <f>I517*IF(N('Коннекторы'!E90)&gt;0,N('Коннекторы'!E90),N('Коннекторы'!G90))</f>
        <v>0</v>
      </c>
      <c r="K517" s="320">
        <f>I517*IF(N('Коннекторы'!F90)&gt;0,N('Коннекторы'!F90),N('Коннекторы'!G90))</f>
        <v>0</v>
      </c>
      <c r="L517" s="320">
        <f>N(L516)+(N(I517)&gt;0)</f>
        <v>0</v>
      </c>
    </row>
    <row r="518">
      <c r="A518" s="321" t="inlineStr">
        <is>
          <t xml:space="preserve">Коннекторы</t>
        </is>
      </c>
      <c r="B518" s="314" t="str">
        <f>'Коннекторы'!A91&amp;""</f>
        <v>905 LR-1,5</v>
      </c>
      <c r="C518" s="315" t="str">
        <f>'Коннекторы'!B91&amp;""</f>
        <v>Плоский коннектор "папа". Вх. размер: 6,3х0,8мм, стоппер,  сечение провода 1-1,5мм²</v>
      </c>
      <c r="D518" s="316" t="str">
        <f>IF('Коннекторы'!H91="+","есть",IF('Коннекторы'!H91="-","нет",""))</f>
        <v>есть</v>
      </c>
      <c r="E518" s="317"/>
      <c r="F518" s="318">
        <f>IF(N('Коннекторы'!G91)&lt;=0,"по запросу",CHOOSE($K$3,IF(N('Коннекторы'!E91)&gt;0,N('Коннекторы'!E91),N('Коннекторы'!G91)),IF(N('Коннекторы'!F91)&gt;0,N('Коннекторы'!F91),N('Коннекторы'!G91)),N('Коннекторы'!G91)))</f>
        <v>378.6</v>
      </c>
      <c r="G518" s="319" t="str">
        <f>IF(I518&lt;=0,"",IF(ISNUMBER(F518),I518*F518,"по запросу"))</f>
        <v/>
      </c>
      <c r="H518" s="320">
        <f>N('Коннекторы'!I91)</f>
        <v>0</v>
      </c>
      <c r="I518" s="320">
        <f>IF(N(E518)&gt;0,N(E518),H518)</f>
        <v>0</v>
      </c>
      <c r="J518" s="320">
        <f>I518*IF(N('Коннекторы'!E91)&gt;0,N('Коннекторы'!E91),N('Коннекторы'!G91))</f>
        <v>0</v>
      </c>
      <c r="K518" s="320">
        <f>I518*IF(N('Коннекторы'!F91)&gt;0,N('Коннекторы'!F91),N('Коннекторы'!G91))</f>
        <v>0</v>
      </c>
      <c r="L518" s="320">
        <f>N(L517)+(N(I518)&gt;0)</f>
        <v>0</v>
      </c>
    </row>
    <row r="519">
      <c r="A519" s="321" t="inlineStr">
        <is>
          <t xml:space="preserve">Коннекторы</t>
        </is>
      </c>
      <c r="B519" s="314" t="str">
        <f>'Коннекторы'!A92&amp;""</f>
        <v>905 LR-2,5</v>
      </c>
      <c r="C519" s="315" t="str">
        <f>'Коннекторы'!B92&amp;""</f>
        <v>Плоский. коннектор "папа". Вх. размер 6,3х0,8мм, стоппер,  сечение провода 2-2,5мм²</v>
      </c>
      <c r="D519" s="316" t="str">
        <f>IF('Коннекторы'!H92="+","есть",IF('Коннекторы'!H92="-","нет",""))</f>
        <v>есть</v>
      </c>
      <c r="E519" s="317"/>
      <c r="F519" s="318">
        <f>IF(N('Коннекторы'!G92)&lt;=0,"по запросу",CHOOSE($K$3,IF(N('Коннекторы'!E92)&gt;0,N('Коннекторы'!E92),N('Коннекторы'!G92)),IF(N('Коннекторы'!F92)&gt;0,N('Коннекторы'!F92),N('Коннекторы'!G92)),N('Коннекторы'!G92)))</f>
        <v>427.6</v>
      </c>
      <c r="G519" s="319" t="str">
        <f>IF(I519&lt;=0,"",IF(ISNUMBER(F519),I519*F519,"по запросу"))</f>
        <v/>
      </c>
      <c r="H519" s="320">
        <f>N('Коннекторы'!I92)</f>
        <v>0</v>
      </c>
      <c r="I519" s="320">
        <f>IF(N(E519)&gt;0,N(E519),H519)</f>
        <v>0</v>
      </c>
      <c r="J519" s="320">
        <f>I519*IF(N('Коннекторы'!E92)&gt;0,N('Коннекторы'!E92),N('Коннекторы'!G92))</f>
        <v>0</v>
      </c>
      <c r="K519" s="320">
        <f>I519*IF(N('Коннекторы'!F92)&gt;0,N('Коннекторы'!F92),N('Коннекторы'!G92))</f>
        <v>0</v>
      </c>
      <c r="L519" s="320">
        <f>N(L518)+(N(I519)&gt;0)</f>
        <v>0</v>
      </c>
    </row>
    <row r="520">
      <c r="A520" s="321" t="inlineStr">
        <is>
          <t xml:space="preserve">Коннекторы</t>
        </is>
      </c>
      <c r="B520" s="314" t="str">
        <f>'Коннекторы'!A93&amp;""</f>
        <v>601 LR-2,5</v>
      </c>
      <c r="C520" s="315" t="str">
        <f>'Коннекторы'!B93&amp;""</f>
        <v>Плоский. коннектор "мама". Вх. размер 6,3мм, стоппер,  сечение провода 2-2,5мм²</v>
      </c>
      <c r="D520" s="316" t="str">
        <f>IF('Коннекторы'!H93="+","есть",IF('Коннекторы'!H93="-","нет",""))</f>
        <v>есть</v>
      </c>
      <c r="E520" s="317"/>
      <c r="F520" s="318">
        <f>IF(N('Коннекторы'!G93)&lt;=0,"по запросу",CHOOSE($K$3,IF(N('Коннекторы'!E93)&gt;0,N('Коннекторы'!E93),N('Коннекторы'!G93)),IF(N('Коннекторы'!F93)&gt;0,N('Коннекторы'!F93),N('Коннекторы'!G93)),N('Коннекторы'!G93)))</f>
        <v>378.6</v>
      </c>
      <c r="G520" s="319" t="str">
        <f>IF(I520&lt;=0,"",IF(ISNUMBER(F520),I520*F520,"по запросу"))</f>
        <v/>
      </c>
      <c r="H520" s="320">
        <f>N('Коннекторы'!I93)</f>
        <v>0</v>
      </c>
      <c r="I520" s="320">
        <f>IF(N(E520)&gt;0,N(E520),H520)</f>
        <v>0</v>
      </c>
      <c r="J520" s="320">
        <f>I520*IF(N('Коннекторы'!E93)&gt;0,N('Коннекторы'!E93),N('Коннекторы'!G93))</f>
        <v>0</v>
      </c>
      <c r="K520" s="320">
        <f>I520*IF(N('Коннекторы'!F93)&gt;0,N('Коннекторы'!F93),N('Коннекторы'!G93))</f>
        <v>0</v>
      </c>
      <c r="L520" s="320">
        <f>N(L519)+(N(I520)&gt;0)</f>
        <v>0</v>
      </c>
    </row>
    <row r="521">
      <c r="A521" s="321" t="inlineStr">
        <is>
          <t xml:space="preserve">Коннекторы</t>
        </is>
      </c>
      <c r="B521" s="314" t="str">
        <f>'Коннекторы'!A94&amp;""</f>
        <v>617 LR-2,5</v>
      </c>
      <c r="C521" s="315" t="str">
        <f>'Коннекторы'!B94&amp;""</f>
        <v>Плоский. коннектор "мама". Вх. размер 6,3мм, 2 прорези, сечение провода 2-2,5мм²</v>
      </c>
      <c r="D521" s="316" t="str">
        <f>IF('Коннекторы'!H94="+","есть",IF('Коннекторы'!H94="-","нет",""))</f>
        <v>есть</v>
      </c>
      <c r="E521" s="317"/>
      <c r="F521" s="318">
        <f>IF(N('Коннекторы'!G94)&lt;=0,"по запросу",CHOOSE($K$3,IF(N('Коннекторы'!E94)&gt;0,N('Коннекторы'!E94),N('Коннекторы'!G94)),IF(N('Коннекторы'!F94)&gt;0,N('Коннекторы'!F94),N('Коннекторы'!G94)),N('Коннекторы'!G94)))</f>
        <v>378.6</v>
      </c>
      <c r="G521" s="319" t="str">
        <f>IF(I521&lt;=0,"",IF(ISNUMBER(F521),I521*F521,"по запросу"))</f>
        <v/>
      </c>
      <c r="H521" s="320">
        <f>N('Коннекторы'!I94)</f>
        <v>0</v>
      </c>
      <c r="I521" s="320">
        <f>IF(N(E521)&gt;0,N(E521),H521)</f>
        <v>0</v>
      </c>
      <c r="J521" s="320">
        <f>I521*IF(N('Коннекторы'!E94)&gt;0,N('Коннекторы'!E94),N('Коннекторы'!G94))</f>
        <v>0</v>
      </c>
      <c r="K521" s="320">
        <f>I521*IF(N('Коннекторы'!F94)&gt;0,N('Коннекторы'!F94),N('Коннекторы'!G94))</f>
        <v>0</v>
      </c>
      <c r="L521" s="320">
        <f>N(L520)+(N(I521)&gt;0)</f>
        <v>0</v>
      </c>
    </row>
    <row r="522">
      <c r="A522" s="321" t="inlineStr">
        <is>
          <t xml:space="preserve">Коннекторы</t>
        </is>
      </c>
      <c r="B522" s="314" t="str">
        <f>'Коннекторы'!A95&amp;""</f>
        <v>601 LR-4,0</v>
      </c>
      <c r="C522" s="315" t="str">
        <f>'Коннекторы'!B95&amp;""</f>
        <v>Плоский. коннектор "мама". Вх. размер 6,3мм, стоппер,  сечение провода 2,5-4,0мм²</v>
      </c>
      <c r="D522" s="316" t="str">
        <f>IF('Коннекторы'!H95="+","есть",IF('Коннекторы'!H95="-","нет",""))</f>
        <v>нет</v>
      </c>
      <c r="E522" s="317"/>
      <c r="F522" s="318">
        <f>IF(N('Коннекторы'!G95)&lt;=0,"по запросу",CHOOSE($K$3,IF(N('Коннекторы'!E95)&gt;0,N('Коннекторы'!E95),N('Коннекторы'!G95)),IF(N('Коннекторы'!F95)&gt;0,N('Коннекторы'!F95),N('Коннекторы'!G95)),N('Коннекторы'!G95)))</f>
        <v>427.6</v>
      </c>
      <c r="G522" s="319" t="str">
        <f>IF(I522&lt;=0,"",IF(ISNUMBER(F522),I522*F522,"по запросу"))</f>
        <v/>
      </c>
      <c r="H522" s="320">
        <f>N('Коннекторы'!I95)</f>
        <v>0</v>
      </c>
      <c r="I522" s="320">
        <f>IF(N(E522)&gt;0,N(E522),H522)</f>
        <v>0</v>
      </c>
      <c r="J522" s="320">
        <f>I522*IF(N('Коннекторы'!E95)&gt;0,N('Коннекторы'!E95),N('Коннекторы'!G95))</f>
        <v>0</v>
      </c>
      <c r="K522" s="320">
        <f>I522*IF(N('Коннекторы'!F95)&gt;0,N('Коннекторы'!F95),N('Коннекторы'!G95))</f>
        <v>0</v>
      </c>
      <c r="L522" s="320">
        <f>N(L521)+(N(I522)&gt;0)</f>
        <v>0</v>
      </c>
    </row>
    <row r="523">
      <c r="A523" s="321" t="inlineStr">
        <is>
          <t xml:space="preserve">Коннекторы</t>
        </is>
      </c>
      <c r="B523" s="314" t="str">
        <f>'Коннекторы'!A96&amp;""</f>
        <v>603 LR-0,8</v>
      </c>
      <c r="C523" s="315" t="str">
        <f>'Коннекторы'!B96&amp;""</f>
        <v>Плоский. коннектор "мама". Вх. размер 4,8мм, стоппер,  сечение провода 0,5-0,8мм²</v>
      </c>
      <c r="D523" s="316" t="str">
        <f>IF('Коннекторы'!H96="+","есть",IF('Коннекторы'!H96="-","нет",""))</f>
        <v>есть</v>
      </c>
      <c r="E523" s="317"/>
      <c r="F523" s="318">
        <f>IF(N('Коннекторы'!G96)&lt;=0,"по запросу",CHOOSE($K$3,IF(N('Коннекторы'!E96)&gt;0,N('Коннекторы'!E96),N('Коннекторы'!G96)),IF(N('Коннекторы'!F96)&gt;0,N('Коннекторы'!F96),N('Коннекторы'!G96)),N('Коннекторы'!G96)))</f>
        <v>298.9</v>
      </c>
      <c r="G523" s="319" t="str">
        <f>IF(I523&lt;=0,"",IF(ISNUMBER(F523),I523*F523,"по запросу"))</f>
        <v/>
      </c>
      <c r="H523" s="320">
        <f>N('Коннекторы'!I96)</f>
        <v>0</v>
      </c>
      <c r="I523" s="320">
        <f>IF(N(E523)&gt;0,N(E523),H523)</f>
        <v>0</v>
      </c>
      <c r="J523" s="320">
        <f>I523*IF(N('Коннекторы'!E96)&gt;0,N('Коннекторы'!E96),N('Коннекторы'!G96))</f>
        <v>0</v>
      </c>
      <c r="K523" s="320">
        <f>I523*IF(N('Коннекторы'!F96)&gt;0,N('Коннекторы'!F96),N('Коннекторы'!G96))</f>
        <v>0</v>
      </c>
      <c r="L523" s="320">
        <f>N(L522)+(N(I523)&gt;0)</f>
        <v>0</v>
      </c>
    </row>
    <row r="524">
      <c r="A524" s="321" t="inlineStr">
        <is>
          <t xml:space="preserve">Коннекторы</t>
        </is>
      </c>
      <c r="B524" s="314" t="str">
        <f>'Коннекторы'!A97&amp;""</f>
        <v>604 LR-0,8</v>
      </c>
      <c r="C524" s="315" t="str">
        <f>'Коннекторы'!B97&amp;""</f>
        <v>Плоский коннектор "мама". Вх.размер 4,8мм, 2 прорези, сечение провода 0,5-0,8мм²</v>
      </c>
      <c r="D524" s="316" t="str">
        <f>IF('Коннекторы'!H97="+","есть",IF('Коннекторы'!H97="-","нет",""))</f>
        <v>есть</v>
      </c>
      <c r="E524" s="317"/>
      <c r="F524" s="318">
        <f>IF(N('Коннекторы'!G97)&lt;=0,"по запросу",CHOOSE($K$3,IF(N('Коннекторы'!E97)&gt;0,N('Коннекторы'!E97),N('Коннекторы'!G97)),IF(N('Коннекторы'!F97)&gt;0,N('Коннекторы'!F97),N('Коннекторы'!G97)),N('Коннекторы'!G97)))</f>
        <v>298.9</v>
      </c>
      <c r="G524" s="319" t="str">
        <f>IF(I524&lt;=0,"",IF(ISNUMBER(F524),I524*F524,"по запросу"))</f>
        <v/>
      </c>
      <c r="H524" s="320">
        <f>N('Коннекторы'!I97)</f>
        <v>0</v>
      </c>
      <c r="I524" s="320">
        <f>IF(N(E524)&gt;0,N(E524),H524)</f>
        <v>0</v>
      </c>
      <c r="J524" s="320">
        <f>I524*IF(N('Коннекторы'!E97)&gt;0,N('Коннекторы'!E97),N('Коннекторы'!G97))</f>
        <v>0</v>
      </c>
      <c r="K524" s="320">
        <f>I524*IF(N('Коннекторы'!F97)&gt;0,N('Коннекторы'!F97),N('Коннекторы'!G97))</f>
        <v>0</v>
      </c>
      <c r="L524" s="320">
        <f>N(L523)+(N(I524)&gt;0)</f>
        <v>0</v>
      </c>
    </row>
    <row r="525">
      <c r="A525" s="321" t="inlineStr">
        <is>
          <t xml:space="preserve">Коннекторы</t>
        </is>
      </c>
      <c r="B525" s="314" t="str">
        <f>'Коннекторы'!A98&amp;""</f>
        <v>604 LRs</v>
      </c>
      <c r="C525" s="315" t="str">
        <f>'Коннекторы'!B98&amp;""</f>
        <v>Плоский коннектор "мама". Вх.размер 4,8мм, 2 прорези, луженый, сечение провода 0,5-0,8мм²</v>
      </c>
      <c r="D525" s="316" t="str">
        <f>IF('Коннекторы'!H98="+","есть",IF('Коннекторы'!H98="-","нет",""))</f>
        <v>нет</v>
      </c>
      <c r="E525" s="317"/>
      <c r="F525" s="318">
        <f>IF(N('Коннекторы'!G98)&lt;=0,"по запросу",CHOOSE($K$3,IF(N('Коннекторы'!E98)&gt;0,N('Коннекторы'!E98),N('Коннекторы'!G98)),IF(N('Коннекторы'!F98)&gt;0,N('Коннекторы'!F98),N('Коннекторы'!G98)),N('Коннекторы'!G98)))</f>
        <v>298.9</v>
      </c>
      <c r="G525" s="319" t="str">
        <f>IF(I525&lt;=0,"",IF(ISNUMBER(F525),I525*F525,"по запросу"))</f>
        <v/>
      </c>
      <c r="H525" s="320">
        <f>N('Коннекторы'!I98)</f>
        <v>0</v>
      </c>
      <c r="I525" s="320">
        <f>IF(N(E525)&gt;0,N(E525),H525)</f>
        <v>0</v>
      </c>
      <c r="J525" s="320">
        <f>I525*IF(N('Коннекторы'!E98)&gt;0,N('Коннекторы'!E98),N('Коннекторы'!G98))</f>
        <v>0</v>
      </c>
      <c r="K525" s="320">
        <f>I525*IF(N('Коннекторы'!F98)&gt;0,N('Коннекторы'!F98),N('Коннекторы'!G98))</f>
        <v>0</v>
      </c>
      <c r="L525" s="320">
        <f>N(L524)+(N(I525)&gt;0)</f>
        <v>0</v>
      </c>
    </row>
    <row r="526">
      <c r="A526" s="321" t="inlineStr">
        <is>
          <t xml:space="preserve">Коннекторы</t>
        </is>
      </c>
      <c r="B526" s="314" t="str">
        <f>'Коннекторы'!A99&amp;""</f>
        <v>614 LR-0,8</v>
      </c>
      <c r="C526" s="315" t="str">
        <f>'Коннекторы'!B99&amp;""</f>
        <v>Плоский коннектор "мама". Вх.размер 4,8мм, гладкий, сечение провода 0,5-0,8мм²</v>
      </c>
      <c r="D526" s="316" t="str">
        <f>IF('Коннекторы'!H99="+","есть",IF('Коннекторы'!H99="-","нет",""))</f>
        <v>есть</v>
      </c>
      <c r="E526" s="317"/>
      <c r="F526" s="318">
        <f>IF(N('Коннекторы'!G99)&lt;=0,"по запросу",CHOOSE($K$3,IF(N('Коннекторы'!E99)&gt;0,N('Коннекторы'!E99),N('Коннекторы'!G99)),IF(N('Коннекторы'!F99)&gt;0,N('Коннекторы'!F99),N('Коннекторы'!G99)),N('Коннекторы'!G99)))</f>
        <v>298.9</v>
      </c>
      <c r="G526" s="319" t="str">
        <f>IF(I526&lt;=0,"",IF(ISNUMBER(F526),I526*F526,"по запросу"))</f>
        <v/>
      </c>
      <c r="H526" s="320">
        <f>N('Коннекторы'!I99)</f>
        <v>0</v>
      </c>
      <c r="I526" s="320">
        <f>IF(N(E526)&gt;0,N(E526),H526)</f>
        <v>0</v>
      </c>
      <c r="J526" s="320">
        <f>I526*IF(N('Коннекторы'!E99)&gt;0,N('Коннекторы'!E99),N('Коннекторы'!G99))</f>
        <v>0</v>
      </c>
      <c r="K526" s="320">
        <f>I526*IF(N('Коннекторы'!F99)&gt;0,N('Коннекторы'!F99),N('Коннекторы'!G99))</f>
        <v>0</v>
      </c>
      <c r="L526" s="320">
        <f>N(L525)+(N(I526)&gt;0)</f>
        <v>0</v>
      </c>
    </row>
    <row r="527">
      <c r="A527" s="321" t="inlineStr">
        <is>
          <t xml:space="preserve">Коннекторы</t>
        </is>
      </c>
      <c r="B527" s="314" t="str">
        <f>'Коннекторы'!A100&amp;""</f>
        <v>504 LR-1,5</v>
      </c>
      <c r="C527" s="315" t="str">
        <f>'Коннекторы'!B100&amp;""</f>
        <v>Плоский коннектор "папа". Вх.размер 4,8х0,8мм,  сечение провода 1-1,5мм²</v>
      </c>
      <c r="D527" s="316" t="str">
        <f>IF('Коннекторы'!H100="+","есть",IF('Коннекторы'!H100="-","нет",""))</f>
        <v>есть</v>
      </c>
      <c r="E527" s="317"/>
      <c r="F527" s="318">
        <f>IF(N('Коннекторы'!G100)&lt;=0,"по запросу",CHOOSE($K$3,IF(N('Коннекторы'!E100)&gt;0,N('Коннекторы'!E100),N('Коннекторы'!G100)),IF(N('Коннекторы'!F100)&gt;0,N('Коннекторы'!F100),N('Коннекторы'!G100)),N('Коннекторы'!G100)))</f>
        <v>278.8</v>
      </c>
      <c r="G527" s="319" t="str">
        <f>IF(I527&lt;=0,"",IF(ISNUMBER(F527),I527*F527,"по запросу"))</f>
        <v/>
      </c>
      <c r="H527" s="320">
        <f>N('Коннекторы'!I100)</f>
        <v>0</v>
      </c>
      <c r="I527" s="320">
        <f>IF(N(E527)&gt;0,N(E527),H527)</f>
        <v>0</v>
      </c>
      <c r="J527" s="320">
        <f>I527*IF(N('Коннекторы'!E100)&gt;0,N('Коннекторы'!E100),N('Коннекторы'!G100))</f>
        <v>0</v>
      </c>
      <c r="K527" s="320">
        <f>I527*IF(N('Коннекторы'!F100)&gt;0,N('Коннекторы'!F100),N('Коннекторы'!G100))</f>
        <v>0</v>
      </c>
      <c r="L527" s="320">
        <f>N(L526)+(N(I527)&gt;0)</f>
        <v>0</v>
      </c>
    </row>
    <row r="528">
      <c r="A528" s="321" t="inlineStr">
        <is>
          <t xml:space="preserve">Коннекторы</t>
        </is>
      </c>
      <c r="B528" s="314" t="str">
        <f>'Коннекторы'!A101&amp;""</f>
        <v>504 LRs</v>
      </c>
      <c r="C528" s="315" t="str">
        <f>'Коннекторы'!B101&amp;""</f>
        <v>Плоский коннектор "папа". Вх.размер 4,8х0,8мм, луженый, ,  сечение провода 1-1,5мм²</v>
      </c>
      <c r="D528" s="316" t="str">
        <f>IF('Коннекторы'!H101="+","есть",IF('Коннекторы'!H101="-","нет",""))</f>
        <v>есть</v>
      </c>
      <c r="E528" s="317"/>
      <c r="F528" s="318">
        <f>IF(N('Коннекторы'!G101)&lt;=0,"по запросу",CHOOSE($K$3,IF(N('Коннекторы'!E101)&gt;0,N('Коннекторы'!E101),N('Коннекторы'!G101)),IF(N('Коннекторы'!F101)&gt;0,N('Коннекторы'!F101),N('Коннекторы'!G101)),N('Коннекторы'!G101)))</f>
        <v>278.8</v>
      </c>
      <c r="G528" s="319" t="str">
        <f>IF(I528&lt;=0,"",IF(ISNUMBER(F528),I528*F528,"по запросу"))</f>
        <v/>
      </c>
      <c r="H528" s="320">
        <f>N('Коннекторы'!I101)</f>
        <v>0</v>
      </c>
      <c r="I528" s="320">
        <f>IF(N(E528)&gt;0,N(E528),H528)</f>
        <v>0</v>
      </c>
      <c r="J528" s="320">
        <f>I528*IF(N('Коннекторы'!E101)&gt;0,N('Коннекторы'!E101),N('Коннекторы'!G101))</f>
        <v>0</v>
      </c>
      <c r="K528" s="320">
        <f>I528*IF(N('Коннекторы'!F101)&gt;0,N('Коннекторы'!F101),N('Коннекторы'!G101))</f>
        <v>0</v>
      </c>
      <c r="L528" s="320">
        <f>N(L527)+(N(I528)&gt;0)</f>
        <v>0</v>
      </c>
    </row>
    <row r="529">
      <c r="A529" s="321" t="inlineStr">
        <is>
          <t xml:space="preserve">Коннекторы</t>
        </is>
      </c>
      <c r="B529" s="314" t="str">
        <f>'Коннекторы'!A102&amp;""</f>
        <v>904 LR-1,5</v>
      </c>
      <c r="C529" s="315" t="str">
        <f>'Коннекторы'!B102&amp;""</f>
        <v>Плоский. коннектор "папа". Вх. размер 4,8х0,8мм, стоппер,  сечение провода 1-1,5мм²</v>
      </c>
      <c r="D529" s="316" t="str">
        <f>IF('Коннекторы'!H102="+","есть",IF('Коннекторы'!H102="-","нет",""))</f>
        <v>есть</v>
      </c>
      <c r="E529" s="317"/>
      <c r="F529" s="318">
        <f>IF(N('Коннекторы'!G102)&lt;=0,"по запросу",CHOOSE($K$3,IF(N('Коннекторы'!E102)&gt;0,N('Коннекторы'!E102),N('Коннекторы'!G102)),IF(N('Коннекторы'!F102)&gt;0,N('Коннекторы'!F102),N('Коннекторы'!G102)),N('Коннекторы'!G102)))</f>
        <v>278.8</v>
      </c>
      <c r="G529" s="319" t="str">
        <f>IF(I529&lt;=0,"",IF(ISNUMBER(F529),I529*F529,"по запросу"))</f>
        <v/>
      </c>
      <c r="H529" s="320">
        <f>N('Коннекторы'!I102)</f>
        <v>0</v>
      </c>
      <c r="I529" s="320">
        <f>IF(N(E529)&gt;0,N(E529),H529)</f>
        <v>0</v>
      </c>
      <c r="J529" s="320">
        <f>I529*IF(N('Коннекторы'!E102)&gt;0,N('Коннекторы'!E102),N('Коннекторы'!G102))</f>
        <v>0</v>
      </c>
      <c r="K529" s="320">
        <f>I529*IF(N('Коннекторы'!F102)&gt;0,N('Коннекторы'!F102),N('Коннекторы'!G102))</f>
        <v>0</v>
      </c>
      <c r="L529" s="320">
        <f>N(L528)+(N(I529)&gt;0)</f>
        <v>0</v>
      </c>
    </row>
    <row r="530">
      <c r="A530" s="321" t="inlineStr">
        <is>
          <t xml:space="preserve">Коннекторы</t>
        </is>
      </c>
      <c r="B530" s="314" t="str">
        <f>'Коннекторы'!A103&amp;""</f>
        <v>906LR(5)-1,5</v>
      </c>
      <c r="C530" s="315" t="str">
        <f>'Коннекторы'!B103&amp;""</f>
        <v>Плоский. коннектор "папа". Вх. размер 2,8х0,5мм, желтый, стоппер,  сечение провода 1-1,5мм²</v>
      </c>
      <c r="D530" s="316" t="str">
        <f>IF('Коннекторы'!H103="+","есть",IF('Коннекторы'!H103="-","нет",""))</f>
        <v>есть</v>
      </c>
      <c r="E530" s="317"/>
      <c r="F530" s="318">
        <f>IF(N('Коннекторы'!G103)&lt;=0,"по запросу",CHOOSE($K$3,IF(N('Коннекторы'!E103)&gt;0,N('Коннекторы'!E103),N('Коннекторы'!G103)),IF(N('Коннекторы'!F103)&gt;0,N('Коннекторы'!F103),N('Коннекторы'!G103)),N('Коннекторы'!G103)))</f>
        <v>298.9</v>
      </c>
      <c r="G530" s="319" t="str">
        <f>IF(I530&lt;=0,"",IF(ISNUMBER(F530),I530*F530,"по запросу"))</f>
        <v/>
      </c>
      <c r="H530" s="320">
        <f>N('Коннекторы'!I103)</f>
        <v>0</v>
      </c>
      <c r="I530" s="320">
        <f>IF(N(E530)&gt;0,N(E530),H530)</f>
        <v>0</v>
      </c>
      <c r="J530" s="320">
        <f>I530*IF(N('Коннекторы'!E103)&gt;0,N('Коннекторы'!E103),N('Коннекторы'!G103))</f>
        <v>0</v>
      </c>
      <c r="K530" s="320">
        <f>I530*IF(N('Коннекторы'!F103)&gt;0,N('Коннекторы'!F103),N('Коннекторы'!G103))</f>
        <v>0</v>
      </c>
      <c r="L530" s="320">
        <f>N(L529)+(N(I530)&gt;0)</f>
        <v>0</v>
      </c>
    </row>
    <row r="531">
      <c r="A531" s="321" t="inlineStr">
        <is>
          <t xml:space="preserve">Коннекторы</t>
        </is>
      </c>
      <c r="B531" s="314" t="str">
        <f>'Коннекторы'!A104&amp;""</f>
        <v>906LRs(5)-1,5</v>
      </c>
      <c r="C531" s="315" t="str">
        <f>'Коннекторы'!B104&amp;""</f>
        <v>Плоский. коннектор "папа". Вх. размер 2,8х0,5мм, луженый, стоппер,  сечение провода 1-1,5мм131</v>
      </c>
      <c r="D531" s="316" t="str">
        <f>IF('Коннекторы'!H104="+","есть",IF('Коннекторы'!H104="-","нет",""))</f>
        <v>нет</v>
      </c>
      <c r="E531" s="317"/>
      <c r="F531" s="318">
        <f>IF(N('Коннекторы'!G104)&lt;=0,"по запросу",CHOOSE($K$3,IF(N('Коннекторы'!E104)&gt;0,N('Коннекторы'!E104),N('Коннекторы'!G104)),IF(N('Коннекторы'!F104)&gt;0,N('Коннекторы'!F104),N('Коннекторы'!G104)),N('Коннекторы'!G104)))</f>
        <v>298.9</v>
      </c>
      <c r="G531" s="319" t="str">
        <f>IF(I531&lt;=0,"",IF(ISNUMBER(F531),I531*F531,"по запросу"))</f>
        <v/>
      </c>
      <c r="H531" s="320">
        <f>N('Коннекторы'!I104)</f>
        <v>0</v>
      </c>
      <c r="I531" s="320">
        <f>IF(N(E531)&gt;0,N(E531),H531)</f>
        <v>0</v>
      </c>
      <c r="J531" s="320">
        <f>I531*IF(N('Коннекторы'!E104)&gt;0,N('Коннекторы'!E104),N('Коннекторы'!G104))</f>
        <v>0</v>
      </c>
      <c r="K531" s="320">
        <f>I531*IF(N('Коннекторы'!F104)&gt;0,N('Коннекторы'!F104),N('Коннекторы'!G104))</f>
        <v>0</v>
      </c>
      <c r="L531" s="320">
        <f>N(L530)+(N(I531)&gt;0)</f>
        <v>0</v>
      </c>
    </row>
    <row r="532">
      <c r="A532" s="321" t="inlineStr">
        <is>
          <t xml:space="preserve">Коннекторы</t>
        </is>
      </c>
      <c r="B532" s="314" t="str">
        <f>'Коннекторы'!A105&amp;""</f>
        <v>906 LRs</v>
      </c>
      <c r="C532" s="315" t="str">
        <f>'Коннекторы'!B105&amp;""</f>
        <v>Плоский коннектор "папа". Вх.размер: 2,8х0,8мм, стоппер, луженый,  сечение провода 1-1,5мм²</v>
      </c>
      <c r="D532" s="316" t="str">
        <f>IF('Коннекторы'!H105="+","есть",IF('Коннекторы'!H105="-","нет",""))</f>
        <v>нет</v>
      </c>
      <c r="E532" s="317"/>
      <c r="F532" s="318">
        <f>IF(N('Коннекторы'!G105)&lt;=0,"по запросу",CHOOSE($K$3,IF(N('Коннекторы'!E105)&gt;0,N('Коннекторы'!E105),N('Коннекторы'!G105)),IF(N('Коннекторы'!F105)&gt;0,N('Коннекторы'!F105),N('Коннекторы'!G105)),N('Коннекторы'!G105)))</f>
        <v>272.6</v>
      </c>
      <c r="G532" s="319" t="str">
        <f>IF(I532&lt;=0,"",IF(ISNUMBER(F532),I532*F532,"по запросу"))</f>
        <v/>
      </c>
      <c r="H532" s="320">
        <f>N('Коннекторы'!I105)</f>
        <v>0</v>
      </c>
      <c r="I532" s="320">
        <f>IF(N(E532)&gt;0,N(E532),H532)</f>
        <v>0</v>
      </c>
      <c r="J532" s="320">
        <f>I532*IF(N('Коннекторы'!E105)&gt;0,N('Коннекторы'!E105),N('Коннекторы'!G105))</f>
        <v>0</v>
      </c>
      <c r="K532" s="320">
        <f>I532*IF(N('Коннекторы'!F105)&gt;0,N('Коннекторы'!F105),N('Коннекторы'!G105))</f>
        <v>0</v>
      </c>
      <c r="L532" s="320">
        <f>N(L531)+(N(I532)&gt;0)</f>
        <v>0</v>
      </c>
    </row>
    <row r="533">
      <c r="A533" s="321" t="inlineStr">
        <is>
          <t xml:space="preserve">Коннекторы</t>
        </is>
      </c>
      <c r="B533" s="314" t="str">
        <f>'Коннекторы'!A106&amp;""</f>
        <v>605 LR-0,8</v>
      </c>
      <c r="C533" s="315" t="str">
        <f>'Коннекторы'!B106&amp;""</f>
        <v>Плоский коннектор "мама". Входной размер 2,8х0,5мм, 2 прорези, сечение провода 0,5-0,8мм²</v>
      </c>
      <c r="D533" s="316" t="str">
        <f>IF('Коннекторы'!H106="+","есть",IF('Коннекторы'!H106="-","нет",""))</f>
        <v>есть</v>
      </c>
      <c r="E533" s="317"/>
      <c r="F533" s="318">
        <f>IF(N('Коннекторы'!G106)&lt;=0,"по запросу",CHOOSE($K$3,IF(N('Коннекторы'!E106)&gt;0,N('Коннекторы'!E106),N('Коннекторы'!G106)),IF(N('Коннекторы'!F106)&gt;0,N('Коннекторы'!F106),N('Коннекторы'!G106)),N('Коннекторы'!G106)))</f>
        <v>182.2</v>
      </c>
      <c r="G533" s="319" t="str">
        <f>IF(I533&lt;=0,"",IF(ISNUMBER(F533),I533*F533,"по запросу"))</f>
        <v/>
      </c>
      <c r="H533" s="320">
        <f>N('Коннекторы'!I106)</f>
        <v>0</v>
      </c>
      <c r="I533" s="320">
        <f>IF(N(E533)&gt;0,N(E533),H533)</f>
        <v>0</v>
      </c>
      <c r="J533" s="320">
        <f>I533*IF(N('Коннекторы'!E106)&gt;0,N('Коннекторы'!E106),N('Коннекторы'!G106))</f>
        <v>0</v>
      </c>
      <c r="K533" s="320">
        <f>I533*IF(N('Коннекторы'!F106)&gt;0,N('Коннекторы'!F106),N('Коннекторы'!G106))</f>
        <v>0</v>
      </c>
      <c r="L533" s="320">
        <f>N(L532)+(N(I533)&gt;0)</f>
        <v>0</v>
      </c>
    </row>
    <row r="534">
      <c r="A534" s="321" t="inlineStr">
        <is>
          <t xml:space="preserve">Коннекторы</t>
        </is>
      </c>
      <c r="B534" s="314" t="str">
        <f>'Коннекторы'!A107&amp;""</f>
        <v>605 LRs</v>
      </c>
      <c r="C534" s="315" t="str">
        <f>'Коннекторы'!B107&amp;""</f>
        <v>Плоский коннектор "мама". Вх.размер 2,8х0,5мм, 2 прорези, луженый, сечение провода 0,5-0,8мм²</v>
      </c>
      <c r="D534" s="316" t="str">
        <f>IF('Коннекторы'!H107="+","есть",IF('Коннекторы'!H107="-","нет",""))</f>
        <v>нет</v>
      </c>
      <c r="E534" s="317"/>
      <c r="F534" s="318">
        <f>IF(N('Коннекторы'!G107)&lt;=0,"по запросу",CHOOSE($K$3,IF(N('Коннекторы'!E107)&gt;0,N('Коннекторы'!E107),N('Коннекторы'!G107)),IF(N('Коннекторы'!F107)&gt;0,N('Коннекторы'!F107),N('Коннекторы'!G107)),N('Коннекторы'!G107)))</f>
        <v>182.2</v>
      </c>
      <c r="G534" s="319" t="str">
        <f>IF(I534&lt;=0,"",IF(ISNUMBER(F534),I534*F534,"по запросу"))</f>
        <v/>
      </c>
      <c r="H534" s="320">
        <f>N('Коннекторы'!I107)</f>
        <v>0</v>
      </c>
      <c r="I534" s="320">
        <f>IF(N(E534)&gt;0,N(E534),H534)</f>
        <v>0</v>
      </c>
      <c r="J534" s="320">
        <f>I534*IF(N('Коннекторы'!E107)&gt;0,N('Коннекторы'!E107),N('Коннекторы'!G107))</f>
        <v>0</v>
      </c>
      <c r="K534" s="320">
        <f>I534*IF(N('Коннекторы'!F107)&gt;0,N('Коннекторы'!F107),N('Коннекторы'!G107))</f>
        <v>0</v>
      </c>
      <c r="L534" s="320">
        <f>N(L533)+(N(I534)&gt;0)</f>
        <v>0</v>
      </c>
    </row>
    <row r="535">
      <c r="A535" s="321" t="inlineStr">
        <is>
          <t xml:space="preserve">Коннекторы</t>
        </is>
      </c>
      <c r="B535" s="314" t="str">
        <f>'Коннекторы'!A108&amp;""</f>
        <v>606 LR-0,8</v>
      </c>
      <c r="C535" s="315" t="str">
        <f>'Коннекторы'!B108&amp;""</f>
        <v>Плоский  коннектор "мама". Вх.размер 2,8х0,5мм, стоппер, сечение провода 0,5-0,8мм²</v>
      </c>
      <c r="D535" s="316" t="str">
        <f>IF('Коннекторы'!H108="+","есть",IF('Коннекторы'!H108="-","нет",""))</f>
        <v>есть</v>
      </c>
      <c r="E535" s="317"/>
      <c r="F535" s="318">
        <f>IF(N('Коннекторы'!G108)&lt;=0,"по запросу",CHOOSE($K$3,IF(N('Коннекторы'!E108)&gt;0,N('Коннекторы'!E108),N('Коннекторы'!G108)),IF(N('Коннекторы'!F108)&gt;0,N('Коннекторы'!F108),N('Коннекторы'!G108)),N('Коннекторы'!G108)))</f>
        <v>182.2</v>
      </c>
      <c r="G535" s="319" t="str">
        <f>IF(I535&lt;=0,"",IF(ISNUMBER(F535),I535*F535,"по запросу"))</f>
        <v/>
      </c>
      <c r="H535" s="320">
        <f>N('Коннекторы'!I108)</f>
        <v>0</v>
      </c>
      <c r="I535" s="320">
        <f>IF(N(E535)&gt;0,N(E535),H535)</f>
        <v>0</v>
      </c>
      <c r="J535" s="320">
        <f>I535*IF(N('Коннекторы'!E108)&gt;0,N('Коннекторы'!E108),N('Коннекторы'!G108))</f>
        <v>0</v>
      </c>
      <c r="K535" s="320">
        <f>I535*IF(N('Коннекторы'!F108)&gt;0,N('Коннекторы'!F108),N('Коннекторы'!G108))</f>
        <v>0</v>
      </c>
      <c r="L535" s="320">
        <f>N(L534)+(N(I535)&gt;0)</f>
        <v>0</v>
      </c>
    </row>
    <row r="536">
      <c r="A536" s="321" t="inlineStr">
        <is>
          <t xml:space="preserve">Коннекторы</t>
        </is>
      </c>
      <c r="B536" s="314" t="str">
        <f>'Коннекторы'!A109&amp;""</f>
        <v>606 LRs</v>
      </c>
      <c r="C536" s="315" t="str">
        <f>'Коннекторы'!B109&amp;""</f>
        <v>Плоский  коннектор "мама". Вх.размер 2,8х0,5мм, стоппер, луженый,  сечение провода 0,5-0,8мм²</v>
      </c>
      <c r="D536" s="316" t="str">
        <f>IF('Коннекторы'!H109="+","есть",IF('Коннекторы'!H109="-","нет",""))</f>
        <v>нет</v>
      </c>
      <c r="E536" s="317"/>
      <c r="F536" s="318">
        <f>IF(N('Коннекторы'!G109)&lt;=0,"по запросу",CHOOSE($K$3,IF(N('Коннекторы'!E109)&gt;0,N('Коннекторы'!E109),N('Коннекторы'!G109)),IF(N('Коннекторы'!F109)&gt;0,N('Коннекторы'!F109),N('Коннекторы'!G109)),N('Коннекторы'!G109)))</f>
        <v>182.2</v>
      </c>
      <c r="G536" s="319" t="str">
        <f>IF(I536&lt;=0,"",IF(ISNUMBER(F536),I536*F536,"по запросу"))</f>
        <v/>
      </c>
      <c r="H536" s="320">
        <f>N('Коннекторы'!I109)</f>
        <v>0</v>
      </c>
      <c r="I536" s="320">
        <f>IF(N(E536)&gt;0,N(E536),H536)</f>
        <v>0</v>
      </c>
      <c r="J536" s="320">
        <f>I536*IF(N('Коннекторы'!E109)&gt;0,N('Коннекторы'!E109),N('Коннекторы'!G109))</f>
        <v>0</v>
      </c>
      <c r="K536" s="320">
        <f>I536*IF(N('Коннекторы'!F109)&gt;0,N('Коннекторы'!F109),N('Коннекторы'!G109))</f>
        <v>0</v>
      </c>
      <c r="L536" s="320">
        <f>N(L535)+(N(I536)&gt;0)</f>
        <v>0</v>
      </c>
    </row>
    <row r="537" ht="20" customHeight="1">
      <c r="A537" s="321" t="inlineStr">
        <is>
          <t xml:space="preserve">Коннекторы</t>
        </is>
      </c>
      <c r="B537" s="312" t="inlineStr">
        <is>
          <t xml:space="preserve">Изоляционные насадки ПВХ на коннекторы без изоляции серии LR, 100 шт.</t>
        </is>
      </c>
      <c r="L537" s="320">
        <f>N(L536)+(N(I537)&gt;0)</f>
        <v>0</v>
      </c>
    </row>
    <row r="538">
      <c r="A538" s="321" t="inlineStr">
        <is>
          <t xml:space="preserve">Коннекторы</t>
        </is>
      </c>
      <c r="B538" s="314" t="str">
        <f>'Коннекторы'!A111&amp;""</f>
        <v>1501PVC</v>
      </c>
      <c r="C538" s="315" t="str">
        <f>'Коннекторы'!B111&amp;""</f>
        <v>изоляция для цилиндр.коннектора "мама". Вх. размер 4,0мм</v>
      </c>
      <c r="D538" s="316" t="str">
        <f>IF('Коннекторы'!H111="+","есть",IF('Коннекторы'!H111="-","нет",""))</f>
        <v>есть</v>
      </c>
      <c r="E538" s="317"/>
      <c r="F538" s="318">
        <f>IF(N('Коннекторы'!G111)&lt;=0,"по запросу",CHOOSE($K$3,IF(N('Коннекторы'!E111)&gt;0,N('Коннекторы'!E111),N('Коннекторы'!G111)),IF(N('Коннекторы'!F111)&gt;0,N('Коннекторы'!F111),N('Коннекторы'!G111)),N('Коннекторы'!G111)))</f>
        <v>269.1</v>
      </c>
      <c r="G538" s="319" t="str">
        <f>IF(I538&lt;=0,"",IF(ISNUMBER(F538),I538*F538,"по запросу"))</f>
        <v/>
      </c>
      <c r="H538" s="320">
        <f>N('Коннекторы'!I111)</f>
        <v>0</v>
      </c>
      <c r="I538" s="320">
        <f>IF(N(E538)&gt;0,N(E538),H538)</f>
        <v>0</v>
      </c>
      <c r="J538" s="320">
        <f>I538*IF(N('Коннекторы'!E111)&gt;0,N('Коннекторы'!E111),N('Коннекторы'!G111))</f>
        <v>0</v>
      </c>
      <c r="K538" s="320">
        <f>I538*IF(N('Коннекторы'!F111)&gt;0,N('Коннекторы'!F111),N('Коннекторы'!G111))</f>
        <v>0</v>
      </c>
      <c r="L538" s="320">
        <f>N(L537)+(N(I538)&gt;0)</f>
        <v>0</v>
      </c>
    </row>
    <row r="539">
      <c r="A539" s="321" t="inlineStr">
        <is>
          <t xml:space="preserve">Коннекторы</t>
        </is>
      </c>
      <c r="B539" s="314" t="str">
        <f>'Коннекторы'!A112&amp;""</f>
        <v>1502PVC</v>
      </c>
      <c r="C539" s="315" t="str">
        <f>'Коннекторы'!B112&amp;""</f>
        <v>изоляция для цилиндр.коннектора "папа". Вх. размер 4,0мм</v>
      </c>
      <c r="D539" s="316" t="str">
        <f>IF('Коннекторы'!H112="+","есть",IF('Коннекторы'!H112="-","нет",""))</f>
        <v>есть</v>
      </c>
      <c r="E539" s="317"/>
      <c r="F539" s="318">
        <f>IF(N('Коннекторы'!G112)&lt;=0,"по запросу",CHOOSE($K$3,IF(N('Коннекторы'!E112)&gt;0,N('Коннекторы'!E112),N('Коннекторы'!G112)),IF(N('Коннекторы'!F112)&gt;0,N('Коннекторы'!F112),N('Коннекторы'!G112)),N('Коннекторы'!G112)))</f>
        <v>269.1</v>
      </c>
      <c r="G539" s="319" t="str">
        <f>IF(I539&lt;=0,"",IF(ISNUMBER(F539),I539*F539,"по запросу"))</f>
        <v/>
      </c>
      <c r="H539" s="320">
        <f>N('Коннекторы'!I112)</f>
        <v>0</v>
      </c>
      <c r="I539" s="320">
        <f>IF(N(E539)&gt;0,N(E539),H539)</f>
        <v>0</v>
      </c>
      <c r="J539" s="320">
        <f>I539*IF(N('Коннекторы'!E112)&gt;0,N('Коннекторы'!E112),N('Коннекторы'!G112))</f>
        <v>0</v>
      </c>
      <c r="K539" s="320">
        <f>I539*IF(N('Коннекторы'!F112)&gt;0,N('Коннекторы'!F112),N('Коннекторы'!G112))</f>
        <v>0</v>
      </c>
      <c r="L539" s="320">
        <f>N(L538)+(N(I539)&gt;0)</f>
        <v>0</v>
      </c>
    </row>
    <row r="540">
      <c r="A540" s="321" t="inlineStr">
        <is>
          <t xml:space="preserve">Коннекторы</t>
        </is>
      </c>
      <c r="B540" s="314" t="str">
        <f>'Коннекторы'!A113&amp;""</f>
        <v>1505PVC</v>
      </c>
      <c r="C540" s="315" t="str">
        <f>'Коннекторы'!B113&amp;""</f>
        <v>изоляция для плоского коннектора "мама". Вх. размер 6,3мм</v>
      </c>
      <c r="D540" s="316" t="str">
        <f>IF('Коннекторы'!H113="+","есть",IF('Коннекторы'!H113="-","нет",""))</f>
        <v>есть</v>
      </c>
      <c r="E540" s="317"/>
      <c r="F540" s="318">
        <f>IF(N('Коннекторы'!G113)&lt;=0,"по запросу",CHOOSE($K$3,IF(N('Коннекторы'!E113)&gt;0,N('Коннекторы'!E113),N('Коннекторы'!G113)),IF(N('Коннекторы'!F113)&gt;0,N('Коннекторы'!F113),N('Коннекторы'!G113)),N('Коннекторы'!G113)))</f>
        <v>328.6</v>
      </c>
      <c r="G540" s="319" t="str">
        <f>IF(I540&lt;=0,"",IF(ISNUMBER(F540),I540*F540,"по запросу"))</f>
        <v/>
      </c>
      <c r="H540" s="320">
        <f>N('Коннекторы'!I113)</f>
        <v>0</v>
      </c>
      <c r="I540" s="320">
        <f>IF(N(E540)&gt;0,N(E540),H540)</f>
        <v>0</v>
      </c>
      <c r="J540" s="320">
        <f>I540*IF(N('Коннекторы'!E113)&gt;0,N('Коннекторы'!E113),N('Коннекторы'!G113))</f>
        <v>0</v>
      </c>
      <c r="K540" s="320">
        <f>I540*IF(N('Коннекторы'!F113)&gt;0,N('Коннекторы'!F113),N('Коннекторы'!G113))</f>
        <v>0</v>
      </c>
      <c r="L540" s="320">
        <f>N(L539)+(N(I540)&gt;0)</f>
        <v>0</v>
      </c>
    </row>
    <row r="541">
      <c r="A541" s="321" t="inlineStr">
        <is>
          <t xml:space="preserve">Коннекторы</t>
        </is>
      </c>
      <c r="B541" s="314" t="str">
        <f>'Коннекторы'!A114&amp;""</f>
        <v>1506PVC</v>
      </c>
      <c r="C541" s="315" t="str">
        <f>'Коннекторы'!B114&amp;""</f>
        <v>изоляция для плоского коннектора "мама". Вх. размер 4,8мм</v>
      </c>
      <c r="D541" s="316" t="str">
        <f>IF('Коннекторы'!H114="+","есть",IF('Коннекторы'!H114="-","нет",""))</f>
        <v>есть</v>
      </c>
      <c r="E541" s="317"/>
      <c r="F541" s="318">
        <f>IF(N('Коннекторы'!G114)&lt;=0,"по запросу",CHOOSE($K$3,IF(N('Коннекторы'!E114)&gt;0,N('Коннекторы'!E114),N('Коннекторы'!G114)),IF(N('Коннекторы'!F114)&gt;0,N('Коннекторы'!F114),N('Коннекторы'!G114)),N('Коннекторы'!G114)))</f>
        <v>269.1</v>
      </c>
      <c r="G541" s="319" t="str">
        <f>IF(I541&lt;=0,"",IF(ISNUMBER(F541),I541*F541,"по запросу"))</f>
        <v/>
      </c>
      <c r="H541" s="320">
        <f>N('Коннекторы'!I114)</f>
        <v>0</v>
      </c>
      <c r="I541" s="320">
        <f>IF(N(E541)&gt;0,N(E541),H541)</f>
        <v>0</v>
      </c>
      <c r="J541" s="320">
        <f>I541*IF(N('Коннекторы'!E114)&gt;0,N('Коннекторы'!E114),N('Коннекторы'!G114))</f>
        <v>0</v>
      </c>
      <c r="K541" s="320">
        <f>I541*IF(N('Коннекторы'!F114)&gt;0,N('Коннекторы'!F114),N('Коннекторы'!G114))</f>
        <v>0</v>
      </c>
      <c r="L541" s="320">
        <f>N(L540)+(N(I541)&gt;0)</f>
        <v>0</v>
      </c>
    </row>
    <row r="542">
      <c r="A542" s="321" t="inlineStr">
        <is>
          <t xml:space="preserve">Коннекторы</t>
        </is>
      </c>
      <c r="B542" s="314" t="str">
        <f>'Коннекторы'!A115&amp;""</f>
        <v>1508PVC</v>
      </c>
      <c r="C542" s="315" t="str">
        <f>'Коннекторы'!B115&amp;""</f>
        <v>изоляция для плоского коннектора "мама". Вх. размер 2,8мм</v>
      </c>
      <c r="D542" s="316" t="str">
        <f>IF('Коннекторы'!H115="+","есть",IF('Коннекторы'!H115="-","нет",""))</f>
        <v>есть</v>
      </c>
      <c r="E542" s="317"/>
      <c r="F542" s="318">
        <f>IF(N('Коннекторы'!G115)&lt;=0,"по запросу",CHOOSE($K$3,IF(N('Коннекторы'!E115)&gt;0,N('Коннекторы'!E115),N('Коннекторы'!G115)),IF(N('Коннекторы'!F115)&gt;0,N('Коннекторы'!F115),N('Коннекторы'!G115)),N('Коннекторы'!G115)))</f>
        <v>215.2</v>
      </c>
      <c r="G542" s="319" t="str">
        <f>IF(I542&lt;=0,"",IF(ISNUMBER(F542),I542*F542,"по запросу"))</f>
        <v/>
      </c>
      <c r="H542" s="320">
        <f>N('Коннекторы'!I115)</f>
        <v>0</v>
      </c>
      <c r="I542" s="320">
        <f>IF(N(E542)&gt;0,N(E542),H542)</f>
        <v>0</v>
      </c>
      <c r="J542" s="320">
        <f>I542*IF(N('Коннекторы'!E115)&gt;0,N('Коннекторы'!E115),N('Коннекторы'!G115))</f>
        <v>0</v>
      </c>
      <c r="K542" s="320">
        <f>I542*IF(N('Коннекторы'!F115)&gt;0,N('Коннекторы'!F115),N('Коннекторы'!G115))</f>
        <v>0</v>
      </c>
      <c r="L542" s="320">
        <f>N(L541)+(N(I542)&gt;0)</f>
        <v>0</v>
      </c>
    </row>
    <row r="543" ht="20" customHeight="1">
      <c r="A543" s="321" t="inlineStr">
        <is>
          <t xml:space="preserve">Коннекторы</t>
        </is>
      </c>
      <c r="B543" s="312" t="inlineStr">
        <is>
          <t xml:space="preserve">Коннекторы с проводами</t>
        </is>
      </c>
      <c r="L543" s="320">
        <f>N(L542)+(N(I543)&gt;0)</f>
        <v>0</v>
      </c>
    </row>
    <row r="544" ht="20" customHeight="1">
      <c r="A544" s="321" t="inlineStr">
        <is>
          <t xml:space="preserve">Коннекторы</t>
        </is>
      </c>
      <c r="B544" s="312" t="inlineStr">
        <is>
          <t xml:space="preserve">Универсальные коннекторы типа 250, мама,папа, шт</t>
        </is>
      </c>
      <c r="L544" s="320">
        <f>N(L543)+(N(I544)&gt;0)</f>
        <v>0</v>
      </c>
    </row>
    <row r="545">
      <c r="A545" s="321" t="inlineStr">
        <is>
          <t xml:space="preserve">Коннекторы</t>
        </is>
      </c>
      <c r="B545" s="314" t="str">
        <f>'Коннекторы'!A118&amp;""</f>
        <v>UH-2P-F, 250 мама</v>
      </c>
      <c r="C545" s="315" t="str">
        <f>'Коннекторы'!B118&amp;""</f>
        <v>2 Pin, мама (цена за 1 шт)</v>
      </c>
      <c r="D545" s="316" t="str">
        <f>IF('Коннекторы'!H118="+","есть",IF('Коннекторы'!H118="-","нет",""))</f>
        <v>есть</v>
      </c>
      <c r="E545" s="317"/>
      <c r="F545" s="318">
        <f>IF(N('Коннекторы'!G118)&lt;=0,"по запросу",CHOOSE($K$3,IF(N('Коннекторы'!E118)&gt;0,N('Коннекторы'!E118),N('Коннекторы'!G118)),IF(N('Коннекторы'!F118)&gt;0,N('Коннекторы'!F118),N('Коннекторы'!G118)),N('Коннекторы'!G118)))</f>
        <v>66.4</v>
      </c>
      <c r="G545" s="319" t="str">
        <f>IF(I545&lt;=0,"",IF(ISNUMBER(F545),I545*F545,"по запросу"))</f>
        <v/>
      </c>
      <c r="H545" s="320">
        <f>N('Коннекторы'!I118)</f>
        <v>0</v>
      </c>
      <c r="I545" s="320">
        <f>IF(N(E545)&gt;0,N(E545),H545)</f>
        <v>0</v>
      </c>
      <c r="J545" s="320">
        <f>I545*IF(N('Коннекторы'!E118)&gt;0,N('Коннекторы'!E118),N('Коннекторы'!G118))</f>
        <v>0</v>
      </c>
      <c r="K545" s="320">
        <f>I545*IF(N('Коннекторы'!F118)&gt;0,N('Коннекторы'!F118),N('Коннекторы'!G118))</f>
        <v>0</v>
      </c>
      <c r="L545" s="320">
        <f>N(L544)+(N(I545)&gt;0)</f>
        <v>0</v>
      </c>
    </row>
    <row r="546">
      <c r="A546" s="321" t="inlineStr">
        <is>
          <t xml:space="preserve">Коннекторы</t>
        </is>
      </c>
      <c r="B546" s="314" t="str">
        <f>'Коннекторы'!A119&amp;""</f>
        <v>UH-2P-M, 250 папа</v>
      </c>
      <c r="C546" s="315" t="str">
        <f>'Коннекторы'!B119&amp;""</f>
        <v>2 Pin, папа (цена за 1 шт)</v>
      </c>
      <c r="D546" s="316" t="str">
        <f>IF('Коннекторы'!H119="+","есть",IF('Коннекторы'!H119="-","нет",""))</f>
        <v>есть</v>
      </c>
      <c r="E546" s="317"/>
      <c r="F546" s="318">
        <f>IF(N('Коннекторы'!G119)&lt;=0,"по запросу",CHOOSE($K$3,IF(N('Коннекторы'!E119)&gt;0,N('Коннекторы'!E119),N('Коннекторы'!G119)),IF(N('Коннекторы'!F119)&gt;0,N('Коннекторы'!F119),N('Коннекторы'!G119)),N('Коннекторы'!G119)))</f>
        <v>66.4</v>
      </c>
      <c r="G546" s="319" t="str">
        <f>IF(I546&lt;=0,"",IF(ISNUMBER(F546),I546*F546,"по запросу"))</f>
        <v/>
      </c>
      <c r="H546" s="320">
        <f>N('Коннекторы'!I119)</f>
        <v>0</v>
      </c>
      <c r="I546" s="320">
        <f>IF(N(E546)&gt;0,N(E546),H546)</f>
        <v>0</v>
      </c>
      <c r="J546" s="320">
        <f>I546*IF(N('Коннекторы'!E119)&gt;0,N('Коннекторы'!E119),N('Коннекторы'!G119))</f>
        <v>0</v>
      </c>
      <c r="K546" s="320">
        <f>I546*IF(N('Коннекторы'!F119)&gt;0,N('Коннекторы'!F119),N('Коннекторы'!G119))</f>
        <v>0</v>
      </c>
      <c r="L546" s="320">
        <f>N(L545)+(N(I546)&gt;0)</f>
        <v>0</v>
      </c>
    </row>
    <row r="547">
      <c r="A547" s="321" t="inlineStr">
        <is>
          <t xml:space="preserve">Коннекторы</t>
        </is>
      </c>
      <c r="B547" s="314" t="str">
        <f>'Коннекторы'!A120&amp;""</f>
        <v>UH-3P-F, 250 мама</v>
      </c>
      <c r="C547" s="315" t="str">
        <f>'Коннекторы'!B120&amp;""</f>
        <v>3 Pin, мама (цена за 1 шт)</v>
      </c>
      <c r="D547" s="316" t="str">
        <f>IF('Коннекторы'!H120="+","есть",IF('Коннекторы'!H120="-","нет",""))</f>
        <v>есть</v>
      </c>
      <c r="E547" s="317"/>
      <c r="F547" s="318">
        <f>IF(N('Коннекторы'!G120)&lt;=0,"по запросу",CHOOSE($K$3,IF(N('Коннекторы'!E120)&gt;0,N('Коннекторы'!E120),N('Коннекторы'!G120)),IF(N('Коннекторы'!F120)&gt;0,N('Коннекторы'!F120),N('Коннекторы'!G120)),N('Коннекторы'!G120)))</f>
        <v>88.1</v>
      </c>
      <c r="G547" s="319" t="str">
        <f>IF(I547&lt;=0,"",IF(ISNUMBER(F547),I547*F547,"по запросу"))</f>
        <v/>
      </c>
      <c r="H547" s="320">
        <f>N('Коннекторы'!I120)</f>
        <v>0</v>
      </c>
      <c r="I547" s="320">
        <f>IF(N(E547)&gt;0,N(E547),H547)</f>
        <v>0</v>
      </c>
      <c r="J547" s="320">
        <f>I547*IF(N('Коннекторы'!E120)&gt;0,N('Коннекторы'!E120),N('Коннекторы'!G120))</f>
        <v>0</v>
      </c>
      <c r="K547" s="320">
        <f>I547*IF(N('Коннекторы'!F120)&gt;0,N('Коннекторы'!F120),N('Коннекторы'!G120))</f>
        <v>0</v>
      </c>
      <c r="L547" s="320">
        <f>N(L546)+(N(I547)&gt;0)</f>
        <v>0</v>
      </c>
    </row>
    <row r="548">
      <c r="A548" s="321" t="inlineStr">
        <is>
          <t xml:space="preserve">Коннекторы</t>
        </is>
      </c>
      <c r="B548" s="314" t="str">
        <f>'Коннекторы'!A121&amp;""</f>
        <v>UH-3P-M, 250 папа</v>
      </c>
      <c r="C548" s="315" t="str">
        <f>'Коннекторы'!B121&amp;""</f>
        <v>3 Pin, папа (цена за 1 шт)</v>
      </c>
      <c r="D548" s="316" t="str">
        <f>IF('Коннекторы'!H121="+","есть",IF('Коннекторы'!H121="-","нет",""))</f>
        <v>есть</v>
      </c>
      <c r="E548" s="317"/>
      <c r="F548" s="318">
        <f>IF(N('Коннекторы'!G121)&lt;=0,"по запросу",CHOOSE($K$3,IF(N('Коннекторы'!E121)&gt;0,N('Коннекторы'!E121),N('Коннекторы'!G121)),IF(N('Коннекторы'!F121)&gt;0,N('Коннекторы'!F121),N('Коннекторы'!G121)),N('Коннекторы'!G121)))</f>
        <v>88.1</v>
      </c>
      <c r="G548" s="319" t="str">
        <f>IF(I548&lt;=0,"",IF(ISNUMBER(F548),I548*F548,"по запросу"))</f>
        <v/>
      </c>
      <c r="H548" s="320">
        <f>N('Коннекторы'!I121)</f>
        <v>0</v>
      </c>
      <c r="I548" s="320">
        <f>IF(N(E548)&gt;0,N(E548),H548)</f>
        <v>0</v>
      </c>
      <c r="J548" s="320">
        <f>I548*IF(N('Коннекторы'!E121)&gt;0,N('Коннекторы'!E121),N('Коннекторы'!G121))</f>
        <v>0</v>
      </c>
      <c r="K548" s="320">
        <f>I548*IF(N('Коннекторы'!F121)&gt;0,N('Коннекторы'!F121),N('Коннекторы'!G121))</f>
        <v>0</v>
      </c>
      <c r="L548" s="320">
        <f>N(L547)+(N(I548)&gt;0)</f>
        <v>0</v>
      </c>
    </row>
    <row r="549" ht="20" customHeight="1">
      <c r="A549" s="321" t="inlineStr">
        <is>
          <t xml:space="preserve">Коннекторы</t>
        </is>
      </c>
      <c r="B549" s="312" t="inlineStr">
        <is>
          <t xml:space="preserve">Влагозащищенные коннекторы, папа, мама, шт</t>
        </is>
      </c>
      <c r="L549" s="320">
        <f>N(L548)+(N(I549)&gt;0)</f>
        <v>0</v>
      </c>
    </row>
    <row r="550">
      <c r="A550" s="321" t="inlineStr">
        <is>
          <t xml:space="preserve">Коннекторы</t>
        </is>
      </c>
      <c r="B550" s="314" t="str">
        <f>'Коннекторы'!A123&amp;""</f>
        <v>WH-2P-F мама</v>
      </c>
      <c r="C550" s="315" t="str">
        <f>'Коннекторы'!B123&amp;""</f>
        <v>2 Pin, мама (цена за 1 шт)</v>
      </c>
      <c r="D550" s="316" t="str">
        <f>IF('Коннекторы'!H123="+","есть",IF('Коннекторы'!H123="-","нет",""))</f>
        <v>есть</v>
      </c>
      <c r="E550" s="317"/>
      <c r="F550" s="318">
        <f>IF(N('Коннекторы'!G123)&lt;=0,"по запросу",CHOOSE($K$3,IF(N('Коннекторы'!E123)&gt;0,N('Коннекторы'!E123),N('Коннекторы'!G123)),IF(N('Коннекторы'!F123)&gt;0,N('Коннекторы'!F123),N('Коннекторы'!G123)),N('Коннекторы'!G123)))</f>
        <v>245.4</v>
      </c>
      <c r="G550" s="319" t="str">
        <f>IF(I550&lt;=0,"",IF(ISNUMBER(F550),I550*F550,"по запросу"))</f>
        <v/>
      </c>
      <c r="H550" s="320">
        <f>N('Коннекторы'!I123)</f>
        <v>0</v>
      </c>
      <c r="I550" s="320">
        <f>IF(N(E550)&gt;0,N(E550),H550)</f>
        <v>0</v>
      </c>
      <c r="J550" s="320">
        <f>I550*IF(N('Коннекторы'!E123)&gt;0,N('Коннекторы'!E123),N('Коннекторы'!G123))</f>
        <v>0</v>
      </c>
      <c r="K550" s="320">
        <f>I550*IF(N('Коннекторы'!F123)&gt;0,N('Коннекторы'!F123),N('Коннекторы'!G123))</f>
        <v>0</v>
      </c>
      <c r="L550" s="320">
        <f>N(L549)+(N(I550)&gt;0)</f>
        <v>0</v>
      </c>
    </row>
    <row r="551">
      <c r="A551" s="321" t="inlineStr">
        <is>
          <t xml:space="preserve">Коннекторы</t>
        </is>
      </c>
      <c r="B551" s="314" t="str">
        <f>'Коннекторы'!A124&amp;""</f>
        <v>WH-2P-M папа</v>
      </c>
      <c r="C551" s="315" t="str">
        <f>'Коннекторы'!B124&amp;""</f>
        <v>2 Pin, папа (цена за 1 шт)</v>
      </c>
      <c r="D551" s="316" t="str">
        <f>IF('Коннекторы'!H124="+","есть",IF('Коннекторы'!H124="-","нет",""))</f>
        <v>есть</v>
      </c>
      <c r="E551" s="317"/>
      <c r="F551" s="318">
        <f>IF(N('Коннекторы'!G124)&lt;=0,"по запросу",CHOOSE($K$3,IF(N('Коннекторы'!E124)&gt;0,N('Коннекторы'!E124),N('Коннекторы'!G124)),IF(N('Коннекторы'!F124)&gt;0,N('Коннекторы'!F124),N('Коннекторы'!G124)),N('Коннекторы'!G124)))</f>
        <v>223.1</v>
      </c>
      <c r="G551" s="319" t="str">
        <f>IF(I551&lt;=0,"",IF(ISNUMBER(F551),I551*F551,"по запросу"))</f>
        <v/>
      </c>
      <c r="H551" s="320">
        <f>N('Коннекторы'!I124)</f>
        <v>0</v>
      </c>
      <c r="I551" s="320">
        <f>IF(N(E551)&gt;0,N(E551),H551)</f>
        <v>0</v>
      </c>
      <c r="J551" s="320">
        <f>I551*IF(N('Коннекторы'!E124)&gt;0,N('Коннекторы'!E124),N('Коннекторы'!G124))</f>
        <v>0</v>
      </c>
      <c r="K551" s="320">
        <f>I551*IF(N('Коннекторы'!F124)&gt;0,N('Коннекторы'!F124),N('Коннекторы'!G124))</f>
        <v>0</v>
      </c>
      <c r="L551" s="320">
        <f>N(L550)+(N(I551)&gt;0)</f>
        <v>0</v>
      </c>
    </row>
    <row r="552">
      <c r="A552" s="321" t="inlineStr">
        <is>
          <t xml:space="preserve">Коннекторы</t>
        </is>
      </c>
      <c r="B552" s="314" t="str">
        <f>'Коннекторы'!A125&amp;""</f>
        <v>WH-4P-F мама</v>
      </c>
      <c r="C552" s="315" t="str">
        <f>'Коннекторы'!B125&amp;""</f>
        <v>4 Pin, мама (цена за 1 шт)</v>
      </c>
      <c r="D552" s="316" t="str">
        <f>IF('Коннекторы'!H125="+","есть",IF('Коннекторы'!H125="-","нет",""))</f>
        <v>есть</v>
      </c>
      <c r="E552" s="317"/>
      <c r="F552" s="318">
        <f>IF(N('Коннекторы'!G125)&lt;=0,"по запросу",CHOOSE($K$3,IF(N('Коннекторы'!E125)&gt;0,N('Коннекторы'!E125),N('Коннекторы'!G125)),IF(N('Коннекторы'!F125)&gt;0,N('Коннекторы'!F125),N('Коннекторы'!G125)),N('Коннекторы'!G125)))</f>
        <v>256.5</v>
      </c>
      <c r="G552" s="319" t="str">
        <f>IF(I552&lt;=0,"",IF(ISNUMBER(F552),I552*F552,"по запросу"))</f>
        <v/>
      </c>
      <c r="H552" s="320">
        <f>N('Коннекторы'!I125)</f>
        <v>0</v>
      </c>
      <c r="I552" s="320">
        <f>IF(N(E552)&gt;0,N(E552),H552)</f>
        <v>0</v>
      </c>
      <c r="J552" s="320">
        <f>I552*IF(N('Коннекторы'!E125)&gt;0,N('Коннекторы'!E125),N('Коннекторы'!G125))</f>
        <v>0</v>
      </c>
      <c r="K552" s="320">
        <f>I552*IF(N('Коннекторы'!F125)&gt;0,N('Коннекторы'!F125),N('Коннекторы'!G125))</f>
        <v>0</v>
      </c>
      <c r="L552" s="320">
        <f>N(L551)+(N(I552)&gt;0)</f>
        <v>0</v>
      </c>
    </row>
    <row r="553">
      <c r="A553" s="321" t="inlineStr">
        <is>
          <t xml:space="preserve">Коннекторы</t>
        </is>
      </c>
      <c r="B553" s="314" t="str">
        <f>'Коннекторы'!A126&amp;""</f>
        <v>WH-4P-M папа</v>
      </c>
      <c r="C553" s="315" t="str">
        <f>'Коннекторы'!B126&amp;""</f>
        <v>4 Pin, папа (цена за 1 шт)</v>
      </c>
      <c r="D553" s="316" t="str">
        <f>IF('Коннекторы'!H126="+","есть",IF('Коннекторы'!H126="-","нет",""))</f>
        <v>есть</v>
      </c>
      <c r="E553" s="317"/>
      <c r="F553" s="318">
        <f>IF(N('Коннекторы'!G126)&lt;=0,"по запросу",CHOOSE($K$3,IF(N('Коннекторы'!E126)&gt;0,N('Коннекторы'!E126),N('Коннекторы'!G126)),IF(N('Коннекторы'!F126)&gt;0,N('Коннекторы'!F126),N('Коннекторы'!G126)),N('Коннекторы'!G126)))</f>
        <v>242.8</v>
      </c>
      <c r="G553" s="319" t="str">
        <f>IF(I553&lt;=0,"",IF(ISNUMBER(F553),I553*F553,"по запросу"))</f>
        <v/>
      </c>
      <c r="H553" s="320">
        <f>N('Коннекторы'!I126)</f>
        <v>0</v>
      </c>
      <c r="I553" s="320">
        <f>IF(N(E553)&gt;0,N(E553),H553)</f>
        <v>0</v>
      </c>
      <c r="J553" s="320">
        <f>I553*IF(N('Коннекторы'!E126)&gt;0,N('Коннекторы'!E126),N('Коннекторы'!G126))</f>
        <v>0</v>
      </c>
      <c r="K553" s="320">
        <f>I553*IF(N('Коннекторы'!F126)&gt;0,N('Коннекторы'!F126),N('Коннекторы'!G126))</f>
        <v>0</v>
      </c>
      <c r="L553" s="320">
        <f>N(L552)+(N(I553)&gt;0)</f>
        <v>0</v>
      </c>
    </row>
    <row r="554">
      <c r="A554" s="321" t="inlineStr">
        <is>
          <t xml:space="preserve">Коннекторы</t>
        </is>
      </c>
      <c r="B554" s="314" t="str">
        <f>'Коннекторы'!A127&amp;""</f>
        <v>WH-6P-F мама</v>
      </c>
      <c r="C554" s="315" t="str">
        <f>'Коннекторы'!B127&amp;""</f>
        <v>6 Pin, мама (цена за шт)</v>
      </c>
      <c r="D554" s="316" t="str">
        <f>IF('Коннекторы'!H127="+","есть",IF('Коннекторы'!H127="-","нет",""))</f>
        <v>есть</v>
      </c>
      <c r="E554" s="317"/>
      <c r="F554" s="318">
        <f>IF(N('Коннекторы'!G127)&lt;=0,"по запросу",CHOOSE($K$3,IF(N('Коннекторы'!E127)&gt;0,N('Коннекторы'!E127),N('Коннекторы'!G127)),IF(N('Коннекторы'!F127)&gt;0,N('Коннекторы'!F127),N('Коннекторы'!G127)),N('Коннекторы'!G127)))</f>
        <v>309.3</v>
      </c>
      <c r="G554" s="319" t="str">
        <f>IF(I554&lt;=0,"",IF(ISNUMBER(F554),I554*F554,"по запросу"))</f>
        <v/>
      </c>
      <c r="H554" s="320">
        <f>N('Коннекторы'!I127)</f>
        <v>0</v>
      </c>
      <c r="I554" s="320">
        <f>IF(N(E554)&gt;0,N(E554),H554)</f>
        <v>0</v>
      </c>
      <c r="J554" s="320">
        <f>I554*IF(N('Коннекторы'!E127)&gt;0,N('Коннекторы'!E127),N('Коннекторы'!G127))</f>
        <v>0</v>
      </c>
      <c r="K554" s="320">
        <f>I554*IF(N('Коннекторы'!F127)&gt;0,N('Коннекторы'!F127),N('Коннекторы'!G127))</f>
        <v>0</v>
      </c>
      <c r="L554" s="320">
        <f>N(L553)+(N(I554)&gt;0)</f>
        <v>0</v>
      </c>
    </row>
    <row r="555">
      <c r="A555" s="321" t="inlineStr">
        <is>
          <t xml:space="preserve">Коннекторы</t>
        </is>
      </c>
      <c r="B555" s="314" t="str">
        <f>'Коннекторы'!A128&amp;""</f>
        <v>WH-6P-M папа</v>
      </c>
      <c r="C555" s="315" t="str">
        <f>'Коннекторы'!B128&amp;""</f>
        <v>6 Pin, папа (цена за 1 шт)</v>
      </c>
      <c r="D555" s="316" t="str">
        <f>IF('Коннекторы'!H128="+","есть",IF('Коннекторы'!H128="-","нет",""))</f>
        <v>есть</v>
      </c>
      <c r="E555" s="317"/>
      <c r="F555" s="318">
        <f>IF(N('Коннекторы'!G128)&lt;=0,"по запросу",CHOOSE($K$3,IF(N('Коннекторы'!E128)&gt;0,N('Коннекторы'!E128),N('Коннекторы'!G128)),IF(N('Коннекторы'!F128)&gt;0,N('Коннекторы'!F128),N('Коннекторы'!G128)),N('Коннекторы'!G128)))</f>
        <v>281.7</v>
      </c>
      <c r="G555" s="319" t="str">
        <f>IF(I555&lt;=0,"",IF(ISNUMBER(F555),I555*F555,"по запросу"))</f>
        <v/>
      </c>
      <c r="H555" s="320">
        <f>N('Коннекторы'!I128)</f>
        <v>0</v>
      </c>
      <c r="I555" s="320">
        <f>IF(N(E555)&gt;0,N(E555),H555)</f>
        <v>0</v>
      </c>
      <c r="J555" s="320">
        <f>I555*IF(N('Коннекторы'!E128)&gt;0,N('Коннекторы'!E128),N('Коннекторы'!G128))</f>
        <v>0</v>
      </c>
      <c r="K555" s="320">
        <f>I555*IF(N('Коннекторы'!F128)&gt;0,N('Коннекторы'!F128),N('Коннекторы'!G128))</f>
        <v>0</v>
      </c>
      <c r="L555" s="320">
        <f>N(L554)+(N(I555)&gt;0)</f>
        <v>0</v>
      </c>
    </row>
    <row r="556" ht="20" customHeight="1">
      <c r="A556" s="321" t="inlineStr">
        <is>
          <t xml:space="preserve">Коннекторы</t>
        </is>
      </c>
      <c r="B556" s="312" t="inlineStr">
        <is>
          <t xml:space="preserve">Комплекты влагозащищенных коннекторов, "папа+мама" для самостоятельной сборки на провода, уп.</t>
        </is>
      </c>
      <c r="L556" s="320">
        <f>N(L555)+(N(I556)&gt;0)</f>
        <v>0</v>
      </c>
    </row>
    <row r="557">
      <c r="A557" s="321" t="inlineStr">
        <is>
          <t xml:space="preserve">Коннекторы</t>
        </is>
      </c>
      <c r="B557" s="314" t="str">
        <f>'Коннекторы'!A130&amp;""</f>
        <v>WH-2P-KIT</v>
      </c>
      <c r="C557" s="315" t="str">
        <f>'Коннекторы'!B130&amp;""</f>
        <v>2 Pin, "мама+папа" (комплект: клеммы, колодки, уплотнители), 10 шт в уп</v>
      </c>
      <c r="D557" s="316" t="str">
        <f>IF('Коннекторы'!H130="+","есть",IF('Коннекторы'!H130="-","нет",""))</f>
        <v>нет</v>
      </c>
      <c r="E557" s="317"/>
      <c r="F557" s="318">
        <f>IF(N('Коннекторы'!G130)&lt;=0,"по запросу",CHOOSE($K$3,IF(N('Коннекторы'!E130)&gt;0,N('Коннекторы'!E130),N('Коннекторы'!G130)),IF(N('Коннекторы'!F130)&gt;0,N('Коннекторы'!F130),N('Коннекторы'!G130)),N('Коннекторы'!G130)))</f>
        <v>993.1</v>
      </c>
      <c r="G557" s="319" t="str">
        <f>IF(I557&lt;=0,"",IF(ISNUMBER(F557),I557*F557,"по запросу"))</f>
        <v/>
      </c>
      <c r="H557" s="320">
        <f>N('Коннекторы'!I130)</f>
        <v>0</v>
      </c>
      <c r="I557" s="320">
        <f>IF(N(E557)&gt;0,N(E557),H557)</f>
        <v>0</v>
      </c>
      <c r="J557" s="320">
        <f>I557*IF(N('Коннекторы'!E130)&gt;0,N('Коннекторы'!E130),N('Коннекторы'!G130))</f>
        <v>0</v>
      </c>
      <c r="K557" s="320">
        <f>I557*IF(N('Коннекторы'!F130)&gt;0,N('Коннекторы'!F130),N('Коннекторы'!G130))</f>
        <v>0</v>
      </c>
      <c r="L557" s="320">
        <f>N(L556)+(N(I557)&gt;0)</f>
        <v>0</v>
      </c>
    </row>
    <row r="558">
      <c r="A558" s="321" t="inlineStr">
        <is>
          <t xml:space="preserve">Коннекторы</t>
        </is>
      </c>
      <c r="B558" s="314" t="str">
        <f>'Коннекторы'!A131&amp;""</f>
        <v>WH-4P-KIT</v>
      </c>
      <c r="C558" s="315" t="str">
        <f>'Коннекторы'!B131&amp;""</f>
        <v>4 Pin, "мама+папа" (комплект: клеммы, колодки, уплотнители), 10 шт в уп</v>
      </c>
      <c r="D558" s="316" t="str">
        <f>IF('Коннекторы'!H131="+","есть",IF('Коннекторы'!H131="-","нет",""))</f>
        <v>нет</v>
      </c>
      <c r="E558" s="317"/>
      <c r="F558" s="318">
        <f>IF(N('Коннекторы'!G131)&lt;=0,"по запросу",CHOOSE($K$3,IF(N('Коннекторы'!E131)&gt;0,N('Коннекторы'!E131),N('Коннекторы'!G131)),IF(N('Коннекторы'!F131)&gt;0,N('Коннекторы'!F131),N('Коннекторы'!G131)),N('Коннекторы'!G131)))</f>
        <v>1987</v>
      </c>
      <c r="G558" s="319" t="str">
        <f>IF(I558&lt;=0,"",IF(ISNUMBER(F558),I558*F558,"по запросу"))</f>
        <v/>
      </c>
      <c r="H558" s="320">
        <f>N('Коннекторы'!I131)</f>
        <v>0</v>
      </c>
      <c r="I558" s="320">
        <f>IF(N(E558)&gt;0,N(E558),H558)</f>
        <v>0</v>
      </c>
      <c r="J558" s="320">
        <f>I558*IF(N('Коннекторы'!E131)&gt;0,N('Коннекторы'!E131),N('Коннекторы'!G131))</f>
        <v>0</v>
      </c>
      <c r="K558" s="320">
        <f>I558*IF(N('Коннекторы'!F131)&gt;0,N('Коннекторы'!F131),N('Коннекторы'!G131))</f>
        <v>0</v>
      </c>
      <c r="L558" s="320">
        <f>N(L557)+(N(I558)&gt;0)</f>
        <v>0</v>
      </c>
    </row>
    <row r="559">
      <c r="A559" s="321" t="inlineStr">
        <is>
          <t xml:space="preserve">Коннекторы</t>
        </is>
      </c>
      <c r="B559" s="314" t="str">
        <f>'Коннекторы'!A132&amp;""</f>
        <v>WH-6P-KIT</v>
      </c>
      <c r="C559" s="315" t="str">
        <f>'Коннекторы'!B132&amp;""</f>
        <v>6 Pin, "мама+папа" (комплект: клеммы, колодки, уплотнители), 10 шт в уп</v>
      </c>
      <c r="D559" s="316" t="str">
        <f>IF('Коннекторы'!H132="+","есть",IF('Коннекторы'!H132="-","нет",""))</f>
        <v>нет</v>
      </c>
      <c r="E559" s="317"/>
      <c r="F559" s="318">
        <f>IF(N('Коннекторы'!G132)&lt;=0,"по запросу",CHOOSE($K$3,IF(N('Коннекторы'!E132)&gt;0,N('Коннекторы'!E132),N('Коннекторы'!G132)),IF(N('Коннекторы'!F132)&gt;0,N('Коннекторы'!F132),N('Коннекторы'!G132)),N('Коннекторы'!G132)))</f>
        <v>2980</v>
      </c>
      <c r="G559" s="319" t="str">
        <f>IF(I559&lt;=0,"",IF(ISNUMBER(F559),I559*F559,"по запросу"))</f>
        <v/>
      </c>
      <c r="H559" s="320">
        <f>N('Коннекторы'!I132)</f>
        <v>0</v>
      </c>
      <c r="I559" s="320">
        <f>IF(N(E559)&gt;0,N(E559),H559)</f>
        <v>0</v>
      </c>
      <c r="J559" s="320">
        <f>I559*IF(N('Коннекторы'!E132)&gt;0,N('Коннекторы'!E132),N('Коннекторы'!G132))</f>
        <v>0</v>
      </c>
      <c r="K559" s="320">
        <f>I559*IF(N('Коннекторы'!F132)&gt;0,N('Коннекторы'!F132),N('Коннекторы'!G132))</f>
        <v>0</v>
      </c>
      <c r="L559" s="320">
        <f>N(L558)+(N(I559)&gt;0)</f>
        <v>0</v>
      </c>
    </row>
    <row r="560" ht="20" customHeight="1">
      <c r="A560" s="321" t="inlineStr">
        <is>
          <t xml:space="preserve">Коннекторы</t>
        </is>
      </c>
      <c r="B560" s="312" t="inlineStr">
        <is>
          <t xml:space="preserve">Контейнеры для хранения клемм:</t>
        </is>
      </c>
      <c r="L560" s="320">
        <f>N(L559)+(N(I560)&gt;0)</f>
        <v>0</v>
      </c>
    </row>
    <row r="561">
      <c r="A561" s="321" t="inlineStr">
        <is>
          <t xml:space="preserve">Коннекторы</t>
        </is>
      </c>
      <c r="B561" s="314" t="str">
        <f>'Коннекторы'!A134&amp;""</f>
        <v>SBOX</v>
      </c>
      <c r="C561" s="315" t="str">
        <f>'Коннекторы'!B134&amp;""</f>
        <v>Пластиковый контейнер с подвесом, 140х100х33мм</v>
      </c>
      <c r="D561" s="316" t="str">
        <f>IF('Коннекторы'!H134="+","есть",IF('Коннекторы'!H134="-","нет",""))</f>
        <v>есть</v>
      </c>
      <c r="E561" s="317"/>
      <c r="F561" s="318">
        <f>IF(N('Коннекторы'!G134)&lt;=0,"по запросу",CHOOSE($K$3,IF(N('Коннекторы'!E134)&gt;0,N('Коннекторы'!E134),N('Коннекторы'!G134)),IF(N('Коннекторы'!F134)&gt;0,N('Коннекторы'!F134),N('Коннекторы'!G134)),N('Коннекторы'!G134)))</f>
        <v>152.1</v>
      </c>
      <c r="G561" s="319" t="str">
        <f>IF(I561&lt;=0,"",IF(ISNUMBER(F561),I561*F561,"по запросу"))</f>
        <v/>
      </c>
      <c r="H561" s="320">
        <f>N('Коннекторы'!I134)</f>
        <v>0</v>
      </c>
      <c r="I561" s="320">
        <f>IF(N(E561)&gt;0,N(E561),H561)</f>
        <v>0</v>
      </c>
      <c r="J561" s="320">
        <f>I561*IF(N('Коннекторы'!E134)&gt;0,N('Коннекторы'!E134),N('Коннекторы'!G134))</f>
        <v>0</v>
      </c>
      <c r="K561" s="320">
        <f>I561*IF(N('Коннекторы'!F134)&gt;0,N('Коннекторы'!F134),N('Коннекторы'!G134))</f>
        <v>0</v>
      </c>
      <c r="L561" s="320">
        <f>N(L560)+(N(I561)&gt;0)</f>
        <v>0</v>
      </c>
    </row>
    <row r="562" ht="28" customHeight="1">
      <c r="A562" s="310" t="inlineStr">
        <is>
          <t xml:space="preserve">Стяжки</t>
        </is>
      </c>
      <c r="B562" s="310"/>
      <c r="C562" s="310"/>
      <c r="D562" s="310"/>
      <c r="E562" s="310"/>
      <c r="F562" s="310"/>
      <c r="G562" s="310"/>
      <c r="L562" s="320">
        <f>N(L561)+(N(I562)&gt;0)</f>
        <v>0</v>
      </c>
    </row>
    <row r="563" ht="24" customHeight="1">
      <c r="A563" s="321" t="inlineStr">
        <is>
          <t xml:space="preserve">Стяжки</t>
        </is>
      </c>
      <c r="B563" s="311" t="inlineStr">
        <is>
          <t xml:space="preserve">ХОМУТЫ - СТЯЖКИ</t>
        </is>
      </c>
      <c r="L563" s="320">
        <f>N(L562)+(N(I563)&gt;0)</f>
        <v>0</v>
      </c>
    </row>
    <row r="564" ht="20" customHeight="1">
      <c r="A564" s="321" t="inlineStr">
        <is>
          <t xml:space="preserve">Стяжки</t>
        </is>
      </c>
      <c r="B564" s="312" t="inlineStr">
        <is>
          <t xml:space="preserve">Ленточные винтовые, червячного типа, сталь, диапазон температур -60С - +120С, упаковка 10шт.</t>
        </is>
      </c>
      <c r="L564" s="320">
        <f>N(L563)+(N(I564)&gt;0)</f>
        <v>0</v>
      </c>
    </row>
    <row r="565">
      <c r="A565" s="321" t="inlineStr">
        <is>
          <t xml:space="preserve">Стяжки</t>
        </is>
      </c>
      <c r="B565" s="314" t="str">
        <f>'Стяжки'!A9&amp;""</f>
        <v>CHK-9 130-150</v>
      </c>
      <c r="C565" s="315" t="str">
        <f>'Стяжки'!B9&amp;""</f>
        <v>Dмин 130мм, Dмакс 150мм, ширина 9мм, головка: паз крест/прямой /шести-граннник 7мм</v>
      </c>
      <c r="D565" s="316" t="str">
        <f>IF('Стяжки'!H9="+","есть",IF('Стяжки'!H9="-","нет",""))</f>
        <v>есть</v>
      </c>
      <c r="E565" s="317"/>
      <c r="F565" s="318">
        <f>IF(N('Стяжки'!G9)&lt;=0,"по запросу",CHOOSE($K$3,IF(N('Стяжки'!E9)&gt;0,N('Стяжки'!E9),N('Стяжки'!G9)),IF(N('Стяжки'!F9)&gt;0,N('Стяжки'!F9),N('Стяжки'!G9)),N('Стяжки'!G9)))</f>
        <v>39</v>
      </c>
      <c r="G565" s="319" t="str">
        <f>IF(I565&lt;=0,"",IF(ISNUMBER(F565),I565*F565,"по запросу"))</f>
        <v/>
      </c>
      <c r="H565" s="320">
        <f>N('Стяжки'!I9)</f>
        <v>0</v>
      </c>
      <c r="I565" s="320">
        <f>IF(N(E565)&gt;0,N(E565),H565)</f>
        <v>0</v>
      </c>
      <c r="J565" s="320">
        <f>I565*IF(N('Стяжки'!E9)&gt;0,N('Стяжки'!E9),N('Стяжки'!G9))</f>
        <v>0</v>
      </c>
      <c r="K565" s="320">
        <f>I565*IF(N('Стяжки'!F9)&gt;0,N('Стяжки'!F9),N('Стяжки'!G9))</f>
        <v>0</v>
      </c>
      <c r="L565" s="320">
        <f>N(L564)+(N(I565)&gt;0)</f>
        <v>0</v>
      </c>
    </row>
    <row r="566" ht="30" customHeight="1">
      <c r="A566" s="321" t="inlineStr">
        <is>
          <t xml:space="preserve">Стяжки</t>
        </is>
      </c>
      <c r="C566" s="313" t="inlineStr">
        <is>
          <t xml:space="preserve">Стандартные, нейлон, устойчивы к истиранию, диапазон температур -35°С - +85°С , цвет черный, упаковка 100шт.</t>
        </is>
      </c>
      <c r="L566" s="320">
        <f>N(L565)+(N(I566)&gt;0)</f>
        <v>0</v>
      </c>
    </row>
    <row r="567">
      <c r="A567" s="321" t="inlineStr">
        <is>
          <t xml:space="preserve">Стяжки</t>
        </is>
      </c>
      <c r="B567" s="314" t="str">
        <f>'Стяжки'!A11&amp;""</f>
        <v>K-100M</v>
      </c>
      <c r="C567" s="315" t="str">
        <f>'Стяжки'!B11&amp;""</f>
        <v>100мм*2,5мм, черные</v>
      </c>
      <c r="D567" s="316" t="str">
        <f>IF('Стяжки'!H11="+","есть",IF('Стяжки'!H11="-","нет",""))</f>
        <v>есть</v>
      </c>
      <c r="E567" s="317"/>
      <c r="F567" s="318">
        <f>IF(N('Стяжки'!G11)&lt;=0,"по запросу",CHOOSE($K$3,IF(N('Стяжки'!E11)&gt;0,N('Стяжки'!E11),N('Стяжки'!G11)),IF(N('Стяжки'!F11)&gt;0,N('Стяжки'!F11),N('Стяжки'!G11)),N('Стяжки'!G11)))</f>
        <v>89.3</v>
      </c>
      <c r="G567" s="319" t="str">
        <f>IF(I567&lt;=0,"",IF(ISNUMBER(F567),I567*F567,"по запросу"))</f>
        <v/>
      </c>
      <c r="H567" s="320">
        <f>N('Стяжки'!I11)</f>
        <v>0</v>
      </c>
      <c r="I567" s="320">
        <f>IF(N(E567)&gt;0,N(E567),H567)</f>
        <v>0</v>
      </c>
      <c r="J567" s="320">
        <f>I567*IF(N('Стяжки'!E11)&gt;0,N('Стяжки'!E11),N('Стяжки'!G11))</f>
        <v>0</v>
      </c>
      <c r="K567" s="320">
        <f>I567*IF(N('Стяжки'!F11)&gt;0,N('Стяжки'!F11),N('Стяжки'!G11))</f>
        <v>0</v>
      </c>
      <c r="L567" s="320">
        <f>N(L566)+(N(I567)&gt;0)</f>
        <v>0</v>
      </c>
    </row>
    <row r="568">
      <c r="A568" s="321" t="inlineStr">
        <is>
          <t xml:space="preserve">Стяжки</t>
        </is>
      </c>
      <c r="B568" s="314" t="str">
        <f>'Стяжки'!A12&amp;""</f>
        <v>K-100M /Italy</v>
      </c>
      <c r="C568" s="315" t="str">
        <f>'Стяжки'!B12&amp;""</f>
        <v>100мм*2,5мм, черные</v>
      </c>
      <c r="D568" s="316" t="str">
        <f>IF('Стяжки'!H12="+","есть",IF('Стяжки'!H12="-","нет",""))</f>
        <v>есть</v>
      </c>
      <c r="E568" s="317"/>
      <c r="F568" s="318">
        <f>IF(N('Стяжки'!G12)&lt;=0,"по запросу",CHOOSE($K$3,IF(N('Стяжки'!E12)&gt;0,N('Стяжки'!E12),N('Стяжки'!G12)),IF(N('Стяжки'!F12)&gt;0,N('Стяжки'!F12),N('Стяжки'!G12)),N('Стяжки'!G12)))</f>
        <v>122.7</v>
      </c>
      <c r="G568" s="319" t="str">
        <f>IF(I568&lt;=0,"",IF(ISNUMBER(F568),I568*F568,"по запросу"))</f>
        <v/>
      </c>
      <c r="H568" s="320">
        <f>N('Стяжки'!I12)</f>
        <v>0</v>
      </c>
      <c r="I568" s="320">
        <f>IF(N(E568)&gt;0,N(E568),H568)</f>
        <v>0</v>
      </c>
      <c r="J568" s="320">
        <f>I568*IF(N('Стяжки'!E12)&gt;0,N('Стяжки'!E12),N('Стяжки'!G12))</f>
        <v>0</v>
      </c>
      <c r="K568" s="320">
        <f>I568*IF(N('Стяжки'!F12)&gt;0,N('Стяжки'!F12),N('Стяжки'!G12))</f>
        <v>0</v>
      </c>
      <c r="L568" s="320">
        <f>N(L567)+(N(I568)&gt;0)</f>
        <v>0</v>
      </c>
    </row>
    <row r="569">
      <c r="A569" s="321" t="inlineStr">
        <is>
          <t xml:space="preserve">Стяжки</t>
        </is>
      </c>
      <c r="B569" s="314" t="str">
        <f>'Стяжки'!A13&amp;""</f>
        <v>K-140M /Italy</v>
      </c>
      <c r="C569" s="315" t="str">
        <f>'Стяжки'!B13&amp;""</f>
        <v>140мм*2,5мм, черные</v>
      </c>
      <c r="D569" s="316" t="str">
        <f>IF('Стяжки'!H13="+","есть",IF('Стяжки'!H13="-","нет",""))</f>
        <v>есть</v>
      </c>
      <c r="E569" s="317"/>
      <c r="F569" s="318">
        <f>IF(N('Стяжки'!G13)&lt;=0,"по запросу",CHOOSE($K$3,IF(N('Стяжки'!E13)&gt;0,N('Стяжки'!E13),N('Стяжки'!G13)),IF(N('Стяжки'!F13)&gt;0,N('Стяжки'!F13),N('Стяжки'!G13)),N('Стяжки'!G13)))</f>
        <v>151.3</v>
      </c>
      <c r="G569" s="319" t="str">
        <f>IF(I569&lt;=0,"",IF(ISNUMBER(F569),I569*F569,"по запросу"))</f>
        <v/>
      </c>
      <c r="H569" s="320">
        <f>N('Стяжки'!I13)</f>
        <v>0</v>
      </c>
      <c r="I569" s="320">
        <f>IF(N(E569)&gt;0,N(E569),H569)</f>
        <v>0</v>
      </c>
      <c r="J569" s="320">
        <f>I569*IF(N('Стяжки'!E13)&gt;0,N('Стяжки'!E13),N('Стяжки'!G13))</f>
        <v>0</v>
      </c>
      <c r="K569" s="320">
        <f>I569*IF(N('Стяжки'!F13)&gt;0,N('Стяжки'!F13),N('Стяжки'!G13))</f>
        <v>0</v>
      </c>
      <c r="L569" s="320">
        <f>N(L568)+(N(I569)&gt;0)</f>
        <v>0</v>
      </c>
    </row>
    <row r="570">
      <c r="A570" s="321" t="inlineStr">
        <is>
          <t xml:space="preserve">Стяжки</t>
        </is>
      </c>
      <c r="B570" s="314" t="str">
        <f>'Стяжки'!A14&amp;""</f>
        <v>K-140I /Italy</v>
      </c>
      <c r="C570" s="315" t="str">
        <f>'Стяжки'!B14&amp;""</f>
        <v>140мм*3,6мм, черные</v>
      </c>
      <c r="D570" s="316" t="str">
        <f>IF('Стяжки'!H14="+","есть",IF('Стяжки'!H14="-","нет",""))</f>
        <v>есть</v>
      </c>
      <c r="E570" s="317"/>
      <c r="F570" s="318">
        <f>IF(N('Стяжки'!G14)&lt;=0,"по запросу",CHOOSE($K$3,IF(N('Стяжки'!E14)&gt;0,N('Стяжки'!E14),N('Стяжки'!G14)),IF(N('Стяжки'!F14)&gt;0,N('Стяжки'!F14),N('Стяжки'!G14)),N('Стяжки'!G14)))</f>
        <v>237.1</v>
      </c>
      <c r="G570" s="319" t="str">
        <f>IF(I570&lt;=0,"",IF(ISNUMBER(F570),I570*F570,"по запросу"))</f>
        <v/>
      </c>
      <c r="H570" s="320">
        <f>N('Стяжки'!I14)</f>
        <v>0</v>
      </c>
      <c r="I570" s="320">
        <f>IF(N(E570)&gt;0,N(E570),H570)</f>
        <v>0</v>
      </c>
      <c r="J570" s="320">
        <f>I570*IF(N('Стяжки'!E14)&gt;0,N('Стяжки'!E14),N('Стяжки'!G14))</f>
        <v>0</v>
      </c>
      <c r="K570" s="320">
        <f>I570*IF(N('Стяжки'!F14)&gt;0,N('Стяжки'!F14),N('Стяжки'!G14))</f>
        <v>0</v>
      </c>
      <c r="L570" s="320">
        <f>N(L569)+(N(I570)&gt;0)</f>
        <v>0</v>
      </c>
    </row>
    <row r="571">
      <c r="A571" s="321" t="inlineStr">
        <is>
          <t xml:space="preserve">Стяжки</t>
        </is>
      </c>
      <c r="B571" s="314" t="str">
        <f>'Стяжки'!A15&amp;""</f>
        <v>K-150M</v>
      </c>
      <c r="C571" s="315" t="str">
        <f>'Стяжки'!B15&amp;""</f>
        <v>150мм*2,5мм, черные</v>
      </c>
      <c r="D571" s="316" t="str">
        <f>IF('Стяжки'!H15="+","есть",IF('Стяжки'!H15="-","нет",""))</f>
        <v>нет</v>
      </c>
      <c r="E571" s="317"/>
      <c r="F571" s="318">
        <f>IF(N('Стяжки'!G15)&lt;=0,"по запросу",CHOOSE($K$3,IF(N('Стяжки'!E15)&gt;0,N('Стяжки'!E15),N('Стяжки'!G15)),IF(N('Стяжки'!F15)&gt;0,N('Стяжки'!F15),N('Стяжки'!G15)),N('Стяжки'!G15)))</f>
        <v>133.3</v>
      </c>
      <c r="G571" s="319" t="str">
        <f>IF(I571&lt;=0,"",IF(ISNUMBER(F571),I571*F571,"по запросу"))</f>
        <v/>
      </c>
      <c r="H571" s="320">
        <f>N('Стяжки'!I15)</f>
        <v>0</v>
      </c>
      <c r="I571" s="320">
        <f>IF(N(E571)&gt;0,N(E571),H571)</f>
        <v>0</v>
      </c>
      <c r="J571" s="320">
        <f>I571*IF(N('Стяжки'!E15)&gt;0,N('Стяжки'!E15),N('Стяжки'!G15))</f>
        <v>0</v>
      </c>
      <c r="K571" s="320">
        <f>I571*IF(N('Стяжки'!F15)&gt;0,N('Стяжки'!F15),N('Стяжки'!G15))</f>
        <v>0</v>
      </c>
      <c r="L571" s="320">
        <f>N(L570)+(N(I571)&gt;0)</f>
        <v>0</v>
      </c>
    </row>
    <row r="572">
      <c r="A572" s="321" t="inlineStr">
        <is>
          <t xml:space="preserve">Стяжки</t>
        </is>
      </c>
      <c r="B572" s="314" t="str">
        <f>'Стяжки'!A16&amp;""</f>
        <v>K-150I</v>
      </c>
      <c r="C572" s="315" t="str">
        <f>'Стяжки'!B16&amp;""</f>
        <v>150мм*3,6мм, черные</v>
      </c>
      <c r="D572" s="316" t="str">
        <f>IF('Стяжки'!H16="+","есть",IF('Стяжки'!H16="-","нет",""))</f>
        <v>есть</v>
      </c>
      <c r="E572" s="317"/>
      <c r="F572" s="318">
        <f>IF(N('Стяжки'!G16)&lt;=0,"по запросу",CHOOSE($K$3,IF(N('Стяжки'!E16)&gt;0,N('Стяжки'!E16),N('Стяжки'!G16)),IF(N('Стяжки'!F16)&gt;0,N('Стяжки'!F16),N('Стяжки'!G16)),N('Стяжки'!G16)))</f>
        <v>191.8</v>
      </c>
      <c r="G572" s="319" t="str">
        <f>IF(I572&lt;=0,"",IF(ISNUMBER(F572),I572*F572,"по запросу"))</f>
        <v/>
      </c>
      <c r="H572" s="320">
        <f>N('Стяжки'!I16)</f>
        <v>0</v>
      </c>
      <c r="I572" s="320">
        <f>IF(N(E572)&gt;0,N(E572),H572)</f>
        <v>0</v>
      </c>
      <c r="J572" s="320">
        <f>I572*IF(N('Стяжки'!E16)&gt;0,N('Стяжки'!E16),N('Стяжки'!G16))</f>
        <v>0</v>
      </c>
      <c r="K572" s="320">
        <f>I572*IF(N('Стяжки'!F16)&gt;0,N('Стяжки'!F16),N('Стяжки'!G16))</f>
        <v>0</v>
      </c>
      <c r="L572" s="320">
        <f>N(L571)+(N(I572)&gt;0)</f>
        <v>0</v>
      </c>
    </row>
    <row r="573">
      <c r="A573" s="321" t="inlineStr">
        <is>
          <t xml:space="preserve">Стяжки</t>
        </is>
      </c>
      <c r="B573" s="314" t="str">
        <f>'Стяжки'!A17&amp;""</f>
        <v>K-160M/Italy</v>
      </c>
      <c r="C573" s="315" t="str">
        <f>'Стяжки'!B17&amp;""</f>
        <v>160мм*2,5мм, черные</v>
      </c>
      <c r="D573" s="316" t="str">
        <f>IF('Стяжки'!H17="+","есть",IF('Стяжки'!H17="-","нет",""))</f>
        <v>есть</v>
      </c>
      <c r="E573" s="317"/>
      <c r="F573" s="318">
        <f>IF(N('Стяжки'!G17)&lt;=0,"по запросу",CHOOSE($K$3,IF(N('Стяжки'!E17)&gt;0,N('Стяжки'!E17),N('Стяжки'!G17)),IF(N('Стяжки'!F17)&gt;0,N('Стяжки'!F17),N('Стяжки'!G17)),N('Стяжки'!G17)))</f>
        <v>206.1</v>
      </c>
      <c r="G573" s="319" t="str">
        <f>IF(I573&lt;=0,"",IF(ISNUMBER(F573),I573*F573,"по запросу"))</f>
        <v/>
      </c>
      <c r="H573" s="320">
        <f>N('Стяжки'!I17)</f>
        <v>0</v>
      </c>
      <c r="I573" s="320">
        <f>IF(N(E573)&gt;0,N(E573),H573)</f>
        <v>0</v>
      </c>
      <c r="J573" s="320">
        <f>I573*IF(N('Стяжки'!E17)&gt;0,N('Стяжки'!E17),N('Стяжки'!G17))</f>
        <v>0</v>
      </c>
      <c r="K573" s="320">
        <f>I573*IF(N('Стяжки'!F17)&gt;0,N('Стяжки'!F17),N('Стяжки'!G17))</f>
        <v>0</v>
      </c>
      <c r="L573" s="320">
        <f>N(L572)+(N(I573)&gt;0)</f>
        <v>0</v>
      </c>
    </row>
    <row r="574">
      <c r="A574" s="321" t="inlineStr">
        <is>
          <t xml:space="preserve">Стяжки</t>
        </is>
      </c>
      <c r="B574" s="314" t="str">
        <f>'Стяжки'!A18&amp;""</f>
        <v>K-200M</v>
      </c>
      <c r="C574" s="315" t="str">
        <f>'Стяжки'!B18&amp;""</f>
        <v>200мм*2,5мм, черные</v>
      </c>
      <c r="D574" s="316" t="str">
        <f>IF('Стяжки'!H18="+","есть",IF('Стяжки'!H18="-","нет",""))</f>
        <v>есть</v>
      </c>
      <c r="E574" s="317"/>
      <c r="F574" s="318">
        <f>IF(N('Стяжки'!G18)&lt;=0,"по запросу",CHOOSE($K$3,IF(N('Стяжки'!E18)&gt;0,N('Стяжки'!E18),N('Стяжки'!G18)),IF(N('Стяжки'!F18)&gt;0,N('Стяжки'!F18),N('Стяжки'!G18)),N('Стяжки'!G18)))</f>
        <v>177.4</v>
      </c>
      <c r="G574" s="319" t="str">
        <f>IF(I574&lt;=0,"",IF(ISNUMBER(F574),I574*F574,"по запросу"))</f>
        <v/>
      </c>
      <c r="H574" s="320">
        <f>N('Стяжки'!I18)</f>
        <v>0</v>
      </c>
      <c r="I574" s="320">
        <f>IF(N(E574)&gt;0,N(E574),H574)</f>
        <v>0</v>
      </c>
      <c r="J574" s="320">
        <f>I574*IF(N('Стяжки'!E18)&gt;0,N('Стяжки'!E18),N('Стяжки'!G18))</f>
        <v>0</v>
      </c>
      <c r="K574" s="320">
        <f>I574*IF(N('Стяжки'!F18)&gt;0,N('Стяжки'!F18),N('Стяжки'!G18))</f>
        <v>0</v>
      </c>
      <c r="L574" s="320">
        <f>N(L573)+(N(I574)&gt;0)</f>
        <v>0</v>
      </c>
    </row>
    <row r="575">
      <c r="A575" s="321" t="inlineStr">
        <is>
          <t xml:space="preserve">Стяжки</t>
        </is>
      </c>
      <c r="B575" s="314" t="str">
        <f>'Стяжки'!A19&amp;""</f>
        <v>K-200M /Italy</v>
      </c>
      <c r="C575" s="315" t="str">
        <f>'Стяжки'!B19&amp;""</f>
        <v>200мм*2,5мм, черные</v>
      </c>
      <c r="D575" s="316" t="str">
        <f>IF('Стяжки'!H19="+","есть",IF('Стяжки'!H19="-","нет",""))</f>
        <v>есть</v>
      </c>
      <c r="E575" s="317"/>
      <c r="F575" s="318">
        <f>IF(N('Стяжки'!G19)&lt;=0,"по запросу",CHOOSE($K$3,IF(N('Стяжки'!E19)&gt;0,N('Стяжки'!E19),N('Стяжки'!G19)),IF(N('Стяжки'!F19)&gt;0,N('Стяжки'!F19),N('Стяжки'!G19)),N('Стяжки'!G19)))</f>
        <v>246.4</v>
      </c>
      <c r="G575" s="319" t="str">
        <f>IF(I575&lt;=0,"",IF(ISNUMBER(F575),I575*F575,"по запросу"))</f>
        <v/>
      </c>
      <c r="H575" s="320">
        <f>N('Стяжки'!I19)</f>
        <v>0</v>
      </c>
      <c r="I575" s="320">
        <f>IF(N(E575)&gt;0,N(E575),H575)</f>
        <v>0</v>
      </c>
      <c r="J575" s="320">
        <f>I575*IF(N('Стяжки'!E19)&gt;0,N('Стяжки'!E19),N('Стяжки'!G19))</f>
        <v>0</v>
      </c>
      <c r="K575" s="320">
        <f>I575*IF(N('Стяжки'!F19)&gt;0,N('Стяжки'!F19),N('Стяжки'!G19))</f>
        <v>0</v>
      </c>
      <c r="L575" s="320">
        <f>N(L574)+(N(I575)&gt;0)</f>
        <v>0</v>
      </c>
    </row>
    <row r="576">
      <c r="A576" s="321" t="inlineStr">
        <is>
          <t xml:space="preserve">Стяжки</t>
        </is>
      </c>
      <c r="B576" s="314" t="str">
        <f>'Стяжки'!A20&amp;""</f>
        <v>K-200I</v>
      </c>
      <c r="C576" s="315" t="str">
        <f>'Стяжки'!B20&amp;""</f>
        <v>200мм*3,6мм, черные</v>
      </c>
      <c r="D576" s="316" t="str">
        <f>IF('Стяжки'!H20="+","есть",IF('Стяжки'!H20="-","нет",""))</f>
        <v>есть</v>
      </c>
      <c r="E576" s="317"/>
      <c r="F576" s="318">
        <f>IF(N('Стяжки'!G20)&lt;=0,"по запросу",CHOOSE($K$3,IF(N('Стяжки'!E20)&gt;0,N('Стяжки'!E20),N('Стяжки'!G20)),IF(N('Стяжки'!F20)&gt;0,N('Стяжки'!F20),N('Стяжки'!G20)),N('Стяжки'!G20)))</f>
        <v>293</v>
      </c>
      <c r="G576" s="319" t="str">
        <f>IF(I576&lt;=0,"",IF(ISNUMBER(F576),I576*F576,"по запросу"))</f>
        <v/>
      </c>
      <c r="H576" s="320">
        <f>N('Стяжки'!I20)</f>
        <v>0</v>
      </c>
      <c r="I576" s="320">
        <f>IF(N(E576)&gt;0,N(E576),H576)</f>
        <v>0</v>
      </c>
      <c r="J576" s="320">
        <f>I576*IF(N('Стяжки'!E20)&gt;0,N('Стяжки'!E20),N('Стяжки'!G20))</f>
        <v>0</v>
      </c>
      <c r="K576" s="320">
        <f>I576*IF(N('Стяжки'!F20)&gt;0,N('Стяжки'!F20),N('Стяжки'!G20))</f>
        <v>0</v>
      </c>
      <c r="L576" s="320">
        <f>N(L575)+(N(I576)&gt;0)</f>
        <v>0</v>
      </c>
    </row>
    <row r="577">
      <c r="A577" s="321" t="inlineStr">
        <is>
          <t xml:space="preserve">Стяжки</t>
        </is>
      </c>
      <c r="B577" s="314" t="str">
        <f>'Стяжки'!A21&amp;""</f>
        <v>K-200S</v>
      </c>
      <c r="C577" s="315" t="str">
        <f>'Стяжки'!B21&amp;""</f>
        <v>200мм*4,8мм, черные</v>
      </c>
      <c r="D577" s="316" t="str">
        <f>IF('Стяжки'!H21="+","есть",IF('Стяжки'!H21="-","нет",""))</f>
        <v>есть</v>
      </c>
      <c r="E577" s="317"/>
      <c r="F577" s="318">
        <f>IF(N('Стяжки'!G21)&lt;=0,"по запросу",CHOOSE($K$3,IF(N('Стяжки'!E21)&gt;0,N('Стяжки'!E21),N('Стяжки'!G21)),IF(N('Стяжки'!F21)&gt;0,N('Стяжки'!F21),N('Стяжки'!G21)),N('Стяжки'!G21)))</f>
        <v>340.6</v>
      </c>
      <c r="G577" s="319" t="str">
        <f>IF(I577&lt;=0,"",IF(ISNUMBER(F577),I577*F577,"по запросу"))</f>
        <v/>
      </c>
      <c r="H577" s="320">
        <f>N('Стяжки'!I21)</f>
        <v>0</v>
      </c>
      <c r="I577" s="320">
        <f>IF(N(E577)&gt;0,N(E577),H577)</f>
        <v>0</v>
      </c>
      <c r="J577" s="320">
        <f>I577*IF(N('Стяжки'!E21)&gt;0,N('Стяжки'!E21),N('Стяжки'!G21))</f>
        <v>0</v>
      </c>
      <c r="K577" s="320">
        <f>I577*IF(N('Стяжки'!F21)&gt;0,N('Стяжки'!F21),N('Стяжки'!G21))</f>
        <v>0</v>
      </c>
      <c r="L577" s="320">
        <f>N(L576)+(N(I577)&gt;0)</f>
        <v>0</v>
      </c>
    </row>
    <row r="578">
      <c r="A578" s="321" t="inlineStr">
        <is>
          <t xml:space="preserve">Стяжки</t>
        </is>
      </c>
      <c r="B578" s="314" t="str">
        <f>'Стяжки'!A22&amp;""</f>
        <v>K-250I</v>
      </c>
      <c r="C578" s="315" t="str">
        <f>'Стяжки'!B22&amp;""</f>
        <v>250мм*3,6мм, черные</v>
      </c>
      <c r="D578" s="316" t="str">
        <f>IF('Стяжки'!H22="+","есть",IF('Стяжки'!H22="-","нет",""))</f>
        <v>есть</v>
      </c>
      <c r="E578" s="317"/>
      <c r="F578" s="318">
        <f>IF(N('Стяжки'!G22)&lt;=0,"по запросу",CHOOSE($K$3,IF(N('Стяжки'!E22)&gt;0,N('Стяжки'!E22),N('Стяжки'!G22)),IF(N('Стяжки'!F22)&gt;0,N('Стяжки'!F22),N('Стяжки'!G22)),N('Стяжки'!G22)))</f>
        <v>368</v>
      </c>
      <c r="G578" s="319" t="str">
        <f>IF(I578&lt;=0,"",IF(ISNUMBER(F578),I578*F578,"по запросу"))</f>
        <v/>
      </c>
      <c r="H578" s="320">
        <f>N('Стяжки'!I22)</f>
        <v>0</v>
      </c>
      <c r="I578" s="320">
        <f>IF(N(E578)&gt;0,N(E578),H578)</f>
        <v>0</v>
      </c>
      <c r="J578" s="320">
        <f>I578*IF(N('Стяжки'!E22)&gt;0,N('Стяжки'!E22),N('Стяжки'!G22))</f>
        <v>0</v>
      </c>
      <c r="K578" s="320">
        <f>I578*IF(N('Стяжки'!F22)&gt;0,N('Стяжки'!F22),N('Стяжки'!G22))</f>
        <v>0</v>
      </c>
      <c r="L578" s="320">
        <f>N(L577)+(N(I578)&gt;0)</f>
        <v>0</v>
      </c>
    </row>
    <row r="579">
      <c r="A579" s="321" t="inlineStr">
        <is>
          <t xml:space="preserve">Стяжки</t>
        </is>
      </c>
      <c r="B579" s="314" t="str">
        <f>'Стяжки'!A23&amp;""</f>
        <v>K-250S /Italy</v>
      </c>
      <c r="C579" s="315" t="str">
        <f>'Стяжки'!B23&amp;""</f>
        <v>250мм*4,8мм, черные</v>
      </c>
      <c r="D579" s="316" t="str">
        <f>IF('Стяжки'!H23="+","есть",IF('Стяжки'!H23="-","нет",""))</f>
        <v>есть</v>
      </c>
      <c r="E579" s="317"/>
      <c r="F579" s="318">
        <f>IF(N('Стяжки'!G23)&lt;=0,"по запросу",CHOOSE($K$3,IF(N('Стяжки'!E23)&gt;0,N('Стяжки'!E23),N('Стяжки'!G23)),IF(N('Стяжки'!F23)&gt;0,N('Стяжки'!F23),N('Стяжки'!G23)),N('Стяжки'!G23)))</f>
        <v>593.1</v>
      </c>
      <c r="G579" s="319" t="str">
        <f>IF(I579&lt;=0,"",IF(ISNUMBER(F579),I579*F579,"по запросу"))</f>
        <v/>
      </c>
      <c r="H579" s="320">
        <f>N('Стяжки'!I23)</f>
        <v>0</v>
      </c>
      <c r="I579" s="320">
        <f>IF(N(E579)&gt;0,N(E579),H579)</f>
        <v>0</v>
      </c>
      <c r="J579" s="320">
        <f>I579*IF(N('Стяжки'!E23)&gt;0,N('Стяжки'!E23),N('Стяжки'!G23))</f>
        <v>0</v>
      </c>
      <c r="K579" s="320">
        <f>I579*IF(N('Стяжки'!F23)&gt;0,N('Стяжки'!F23),N('Стяжки'!G23))</f>
        <v>0</v>
      </c>
      <c r="L579" s="320">
        <f>N(L578)+(N(I579)&gt;0)</f>
        <v>0</v>
      </c>
    </row>
    <row r="580">
      <c r="A580" s="321" t="inlineStr">
        <is>
          <t xml:space="preserve">Стяжки</t>
        </is>
      </c>
      <c r="B580" s="314" t="str">
        <f>'Стяжки'!A24&amp;""</f>
        <v>K-290I /Italy</v>
      </c>
      <c r="C580" s="315" t="str">
        <f>'Стяжки'!B24&amp;""</f>
        <v>290мм*3,6мм, черные</v>
      </c>
      <c r="D580" s="316" t="str">
        <f>IF('Стяжки'!H24="+","есть",IF('Стяжки'!H24="-","нет",""))</f>
        <v>есть</v>
      </c>
      <c r="E580" s="317"/>
      <c r="F580" s="318">
        <f>IF(N('Стяжки'!G24)&lt;=0,"по запросу",CHOOSE($K$3,IF(N('Стяжки'!E24)&gt;0,N('Стяжки'!E24),N('Стяжки'!G24)),IF(N('Стяжки'!F24)&gt;0,N('Стяжки'!F24),N('Стяжки'!G24)),N('Стяжки'!G24)))</f>
        <v>516.9</v>
      </c>
      <c r="G580" s="319" t="str">
        <f>IF(I580&lt;=0,"",IF(ISNUMBER(F580),I580*F580,"по запросу"))</f>
        <v/>
      </c>
      <c r="H580" s="320">
        <f>N('Стяжки'!I24)</f>
        <v>0</v>
      </c>
      <c r="I580" s="320">
        <f>IF(N(E580)&gt;0,N(E580),H580)</f>
        <v>0</v>
      </c>
      <c r="J580" s="320">
        <f>I580*IF(N('Стяжки'!E24)&gt;0,N('Стяжки'!E24),N('Стяжки'!G24))</f>
        <v>0</v>
      </c>
      <c r="K580" s="320">
        <f>I580*IF(N('Стяжки'!F24)&gt;0,N('Стяжки'!F24),N('Стяжки'!G24))</f>
        <v>0</v>
      </c>
      <c r="L580" s="320">
        <f>N(L579)+(N(I580)&gt;0)</f>
        <v>0</v>
      </c>
    </row>
    <row r="581">
      <c r="A581" s="321" t="inlineStr">
        <is>
          <t xml:space="preserve">Стяжки</t>
        </is>
      </c>
      <c r="B581" s="314" t="str">
        <f>'Стяжки'!A25&amp;""</f>
        <v>K-290S /Italy</v>
      </c>
      <c r="C581" s="315" t="str">
        <f>'Стяжки'!B25&amp;""</f>
        <v>290мм*4,8мм, черные</v>
      </c>
      <c r="D581" s="316" t="str">
        <f>IF('Стяжки'!H25="+","есть",IF('Стяжки'!H25="-","нет",""))</f>
        <v>есть</v>
      </c>
      <c r="E581" s="317"/>
      <c r="F581" s="318">
        <f>IF(N('Стяжки'!G25)&lt;=0,"по запросу",CHOOSE($K$3,IF(N('Стяжки'!E25)&gt;0,N('Стяжки'!E25),N('Стяжки'!G25)),IF(N('Стяжки'!F25)&gt;0,N('Стяжки'!F25),N('Стяжки'!G25)),N('Стяжки'!G25)))</f>
        <v>687.2</v>
      </c>
      <c r="G581" s="319" t="str">
        <f>IF(I581&lt;=0,"",IF(ISNUMBER(F581),I581*F581,"по запросу"))</f>
        <v/>
      </c>
      <c r="H581" s="320">
        <f>N('Стяжки'!I25)</f>
        <v>0</v>
      </c>
      <c r="I581" s="320">
        <f>IF(N(E581)&gt;0,N(E581),H581)</f>
        <v>0</v>
      </c>
      <c r="J581" s="320">
        <f>I581*IF(N('Стяжки'!E25)&gt;0,N('Стяжки'!E25),N('Стяжки'!G25))</f>
        <v>0</v>
      </c>
      <c r="K581" s="320">
        <f>I581*IF(N('Стяжки'!F25)&gt;0,N('Стяжки'!F25),N('Стяжки'!G25))</f>
        <v>0</v>
      </c>
      <c r="L581" s="320">
        <f>N(L580)+(N(I581)&gt;0)</f>
        <v>0</v>
      </c>
    </row>
    <row r="582">
      <c r="A582" s="321" t="inlineStr">
        <is>
          <t xml:space="preserve">Стяжки</t>
        </is>
      </c>
      <c r="B582" s="314" t="str">
        <f>'Стяжки'!A26&amp;""</f>
        <v>K-290H /Italy</v>
      </c>
      <c r="C582" s="315" t="str">
        <f>'Стяжки'!B26&amp;""</f>
        <v>290мм*7,6мм, черные</v>
      </c>
      <c r="D582" s="316" t="str">
        <f>IF('Стяжки'!H26="+","есть",IF('Стяжки'!H26="-","нет",""))</f>
        <v>есть</v>
      </c>
      <c r="E582" s="317"/>
      <c r="F582" s="318">
        <f>IF(N('Стяжки'!G26)&lt;=0,"по запросу",CHOOSE($K$3,IF(N('Стяжки'!E26)&gt;0,N('Стяжки'!E26),N('Стяжки'!G26)),IF(N('Стяжки'!F26)&gt;0,N('Стяжки'!F26),N('Стяжки'!G26)),N('Стяжки'!G26)))</f>
        <v>1089.7</v>
      </c>
      <c r="G582" s="319" t="str">
        <f>IF(I582&lt;=0,"",IF(ISNUMBER(F582),I582*F582,"по запросу"))</f>
        <v/>
      </c>
      <c r="H582" s="320">
        <f>N('Стяжки'!I26)</f>
        <v>0</v>
      </c>
      <c r="I582" s="320">
        <f>IF(N(E582)&gt;0,N(E582),H582)</f>
        <v>0</v>
      </c>
      <c r="J582" s="320">
        <f>I582*IF(N('Стяжки'!E26)&gt;0,N('Стяжки'!E26),N('Стяжки'!G26))</f>
        <v>0</v>
      </c>
      <c r="K582" s="320">
        <f>I582*IF(N('Стяжки'!F26)&gt;0,N('Стяжки'!F26),N('Стяжки'!G26))</f>
        <v>0</v>
      </c>
      <c r="L582" s="320">
        <f>N(L581)+(N(I582)&gt;0)</f>
        <v>0</v>
      </c>
    </row>
    <row r="583">
      <c r="A583" s="321" t="inlineStr">
        <is>
          <t xml:space="preserve">Стяжки</t>
        </is>
      </c>
      <c r="B583" s="314" t="str">
        <f>'Стяжки'!A27&amp;""</f>
        <v>K-300I</v>
      </c>
      <c r="C583" s="315" t="str">
        <f>'Стяжки'!B27&amp;""</f>
        <v>300мм*3,6мм, черные</v>
      </c>
      <c r="D583" s="316" t="str">
        <f>IF('Стяжки'!H27="+","есть",IF('Стяжки'!H27="-","нет",""))</f>
        <v>есть</v>
      </c>
      <c r="E583" s="317"/>
      <c r="F583" s="318">
        <f>IF(N('Стяжки'!G27)&lt;=0,"по запросу",CHOOSE($K$3,IF(N('Стяжки'!E27)&gt;0,N('Стяжки'!E27),N('Стяжки'!G27)),IF(N('Стяжки'!F27)&gt;0,N('Стяжки'!F27),N('Стяжки'!G27)),N('Стяжки'!G27)))</f>
        <v>384.8</v>
      </c>
      <c r="G583" s="319" t="str">
        <f>IF(I583&lt;=0,"",IF(ISNUMBER(F583),I583*F583,"по запросу"))</f>
        <v/>
      </c>
      <c r="H583" s="320">
        <f>N('Стяжки'!I27)</f>
        <v>0</v>
      </c>
      <c r="I583" s="320">
        <f>IF(N(E583)&gt;0,N(E583),H583)</f>
        <v>0</v>
      </c>
      <c r="J583" s="320">
        <f>I583*IF(N('Стяжки'!E27)&gt;0,N('Стяжки'!E27),N('Стяжки'!G27))</f>
        <v>0</v>
      </c>
      <c r="K583" s="320">
        <f>I583*IF(N('Стяжки'!F27)&gt;0,N('Стяжки'!F27),N('Стяжки'!G27))</f>
        <v>0</v>
      </c>
      <c r="L583" s="320">
        <f>N(L582)+(N(I583)&gt;0)</f>
        <v>0</v>
      </c>
    </row>
    <row r="584">
      <c r="A584" s="321" t="inlineStr">
        <is>
          <t xml:space="preserve">Стяжки</t>
        </is>
      </c>
      <c r="B584" s="314" t="str">
        <f>'Стяжки'!A28&amp;""</f>
        <v>K-300I Silver</v>
      </c>
      <c r="C584" s="315" t="str">
        <f>'Стяжки'!B28&amp;""</f>
        <v>300мм*3,6мм, серебристые</v>
      </c>
      <c r="D584" s="316" t="str">
        <f>IF('Стяжки'!H28="+","есть",IF('Стяжки'!H28="-","нет",""))</f>
        <v>есть</v>
      </c>
      <c r="E584" s="317"/>
      <c r="F584" s="318">
        <f>IF(N('Стяжки'!G28)&lt;=0,"по запросу",CHOOSE($K$3,IF(N('Стяжки'!E28)&gt;0,N('Стяжки'!E28),N('Стяжки'!G28)),IF(N('Стяжки'!F28)&gt;0,N('Стяжки'!F28),N('Стяжки'!G28)),N('Стяжки'!G28)))</f>
        <v>441.9</v>
      </c>
      <c r="G584" s="319" t="str">
        <f>IF(I584&lt;=0,"",IF(ISNUMBER(F584),I584*F584,"по запросу"))</f>
        <v/>
      </c>
      <c r="H584" s="320">
        <f>N('Стяжки'!I28)</f>
        <v>0</v>
      </c>
      <c r="I584" s="320">
        <f>IF(N(E584)&gt;0,N(E584),H584)</f>
        <v>0</v>
      </c>
      <c r="J584" s="320">
        <f>I584*IF(N('Стяжки'!E28)&gt;0,N('Стяжки'!E28),N('Стяжки'!G28))</f>
        <v>0</v>
      </c>
      <c r="K584" s="320">
        <f>I584*IF(N('Стяжки'!F28)&gt;0,N('Стяжки'!F28),N('Стяжки'!G28))</f>
        <v>0</v>
      </c>
      <c r="L584" s="320">
        <f>N(L583)+(N(I584)&gt;0)</f>
        <v>0</v>
      </c>
    </row>
    <row r="585">
      <c r="A585" s="321" t="inlineStr">
        <is>
          <t xml:space="preserve">Стяжки</t>
        </is>
      </c>
      <c r="B585" s="314" t="str">
        <f>'Стяжки'!A29&amp;""</f>
        <v>K-300H</v>
      </c>
      <c r="C585" s="315" t="str">
        <f>'Стяжки'!B29&amp;""</f>
        <v>300мм*7,6мм, черные</v>
      </c>
      <c r="D585" s="316" t="str">
        <f>IF('Стяжки'!H29="+","есть",IF('Стяжки'!H29="-","нет",""))</f>
        <v>есть</v>
      </c>
      <c r="E585" s="317"/>
      <c r="F585" s="318">
        <f>IF(N('Стяжки'!G29)&lt;=0,"по запросу",CHOOSE($K$3,IF(N('Стяжки'!E29)&gt;0,N('Стяжки'!E29),N('Стяжки'!G29)),IF(N('Стяжки'!F29)&gt;0,N('Стяжки'!F29),N('Стяжки'!G29)),N('Стяжки'!G29)))</f>
        <v>811</v>
      </c>
      <c r="G585" s="319" t="str">
        <f>IF(I585&lt;=0,"",IF(ISNUMBER(F585),I585*F585,"по запросу"))</f>
        <v/>
      </c>
      <c r="H585" s="320">
        <f>N('Стяжки'!I29)</f>
        <v>0</v>
      </c>
      <c r="I585" s="320">
        <f>IF(N(E585)&gt;0,N(E585),H585)</f>
        <v>0</v>
      </c>
      <c r="J585" s="320">
        <f>I585*IF(N('Стяжки'!E29)&gt;0,N('Стяжки'!E29),N('Стяжки'!G29))</f>
        <v>0</v>
      </c>
      <c r="K585" s="320">
        <f>I585*IF(N('Стяжки'!F29)&gt;0,N('Стяжки'!F29),N('Стяжки'!G29))</f>
        <v>0</v>
      </c>
      <c r="L585" s="320">
        <f>N(L584)+(N(I585)&gt;0)</f>
        <v>0</v>
      </c>
    </row>
    <row r="586">
      <c r="A586" s="321" t="inlineStr">
        <is>
          <t xml:space="preserve">Стяжки</t>
        </is>
      </c>
      <c r="B586" s="314" t="str">
        <f>'Стяжки'!A30&amp;""</f>
        <v>K-360I /Italy</v>
      </c>
      <c r="C586" s="315" t="str">
        <f>'Стяжки'!B30&amp;""</f>
        <v>360мм*3,6мм, черные</v>
      </c>
      <c r="D586" s="316" t="str">
        <f>IF('Стяжки'!H30="+","есть",IF('Стяжки'!H30="-","нет",""))</f>
        <v>есть</v>
      </c>
      <c r="E586" s="317"/>
      <c r="F586" s="318">
        <f>IF(N('Стяжки'!G30)&lt;=0,"по запросу",CHOOSE($K$3,IF(N('Стяжки'!E30)&gt;0,N('Стяжки'!E30),N('Стяжки'!G30)),IF(N('Стяжки'!F30)&gt;0,N('Стяжки'!F30),N('Стяжки'!G30)),N('Стяжки'!G30)))</f>
        <v>640.6</v>
      </c>
      <c r="G586" s="319" t="str">
        <f>IF(I586&lt;=0,"",IF(ISNUMBER(F586),I586*F586,"по запросу"))</f>
        <v/>
      </c>
      <c r="H586" s="320">
        <f>N('Стяжки'!I30)</f>
        <v>0</v>
      </c>
      <c r="I586" s="320">
        <f>IF(N(E586)&gt;0,N(E586),H586)</f>
        <v>0</v>
      </c>
      <c r="J586" s="320">
        <f>I586*IF(N('Стяжки'!E30)&gt;0,N('Стяжки'!E30),N('Стяжки'!G30))</f>
        <v>0</v>
      </c>
      <c r="K586" s="320">
        <f>I586*IF(N('Стяжки'!F30)&gt;0,N('Стяжки'!F30),N('Стяжки'!G30))</f>
        <v>0</v>
      </c>
      <c r="L586" s="320">
        <f>N(L585)+(N(I586)&gt;0)</f>
        <v>0</v>
      </c>
    </row>
    <row r="587">
      <c r="A587" s="321" t="inlineStr">
        <is>
          <t xml:space="preserve">Стяжки</t>
        </is>
      </c>
      <c r="B587" s="314" t="str">
        <f>'Стяжки'!A31&amp;""</f>
        <v>K-360S /Italy</v>
      </c>
      <c r="C587" s="315" t="str">
        <f>'Стяжки'!B31&amp;""</f>
        <v>360мм*4,8мм, черные</v>
      </c>
      <c r="D587" s="316" t="str">
        <f>IF('Стяжки'!H31="+","есть",IF('Стяжки'!H31="-","нет",""))</f>
        <v>есть</v>
      </c>
      <c r="E587" s="317"/>
      <c r="F587" s="318">
        <f>IF(N('Стяжки'!G31)&lt;=0,"по запросу",CHOOSE($K$3,IF(N('Стяжки'!E31)&gt;0,N('Стяжки'!E31),N('Стяжки'!G31)),IF(N('Стяжки'!F31)&gt;0,N('Стяжки'!F31),N('Стяжки'!G31)),N('Стяжки'!G31)))</f>
        <v>852.6</v>
      </c>
      <c r="G587" s="319" t="str">
        <f>IF(I587&lt;=0,"",IF(ISNUMBER(F587),I587*F587,"по запросу"))</f>
        <v/>
      </c>
      <c r="H587" s="320">
        <f>N('Стяжки'!I31)</f>
        <v>0</v>
      </c>
      <c r="I587" s="320">
        <f>IF(N(E587)&gt;0,N(E587),H587)</f>
        <v>0</v>
      </c>
      <c r="J587" s="320">
        <f>I587*IF(N('Стяжки'!E31)&gt;0,N('Стяжки'!E31),N('Стяжки'!G31))</f>
        <v>0</v>
      </c>
      <c r="K587" s="320">
        <f>I587*IF(N('Стяжки'!F31)&gt;0,N('Стяжки'!F31),N('Стяжки'!G31))</f>
        <v>0</v>
      </c>
      <c r="L587" s="320">
        <f>N(L586)+(N(I587)&gt;0)</f>
        <v>0</v>
      </c>
    </row>
    <row r="588">
      <c r="A588" s="321" t="inlineStr">
        <is>
          <t xml:space="preserve">Стяжки</t>
        </is>
      </c>
      <c r="B588" s="314" t="str">
        <f>'Стяжки'!A32&amp;""</f>
        <v>K-360H /Italy</v>
      </c>
      <c r="C588" s="315" t="str">
        <f>'Стяжки'!B32&amp;""</f>
        <v>360мм*7,6мм, черные</v>
      </c>
      <c r="D588" s="316" t="str">
        <f>IF('Стяжки'!H32="+","есть",IF('Стяжки'!H32="-","нет",""))</f>
        <v>есть</v>
      </c>
      <c r="E588" s="317"/>
      <c r="F588" s="318">
        <f>IF(N('Стяжки'!G32)&lt;=0,"по запросу",CHOOSE($K$3,IF(N('Стяжки'!E32)&gt;0,N('Стяжки'!E32),N('Стяжки'!G32)),IF(N('Стяжки'!F32)&gt;0,N('Стяжки'!F32),N('Стяжки'!G32)),N('Стяжки'!G32)))</f>
        <v>1352.8</v>
      </c>
      <c r="G588" s="319" t="str">
        <f>IF(I588&lt;=0,"",IF(ISNUMBER(F588),I588*F588,"по запросу"))</f>
        <v/>
      </c>
      <c r="H588" s="320">
        <f>N('Стяжки'!I32)</f>
        <v>0</v>
      </c>
      <c r="I588" s="320">
        <f>IF(N(E588)&gt;0,N(E588),H588)</f>
        <v>0</v>
      </c>
      <c r="J588" s="320">
        <f>I588*IF(N('Стяжки'!E32)&gt;0,N('Стяжки'!E32),N('Стяжки'!G32))</f>
        <v>0</v>
      </c>
      <c r="K588" s="320">
        <f>I588*IF(N('Стяжки'!F32)&gt;0,N('Стяжки'!F32),N('Стяжки'!G32))</f>
        <v>0</v>
      </c>
      <c r="L588" s="320">
        <f>N(L587)+(N(I588)&gt;0)</f>
        <v>0</v>
      </c>
    </row>
    <row r="589">
      <c r="A589" s="321" t="inlineStr">
        <is>
          <t xml:space="preserve">Стяжки</t>
        </is>
      </c>
      <c r="B589" s="314" t="str">
        <f>'Стяжки'!A33&amp;""</f>
        <v>K-370I</v>
      </c>
      <c r="C589" s="315" t="str">
        <f>'Стяжки'!B33&amp;""</f>
        <v>370мм*3,6мм, черные</v>
      </c>
      <c r="D589" s="316" t="str">
        <f>IF('Стяжки'!H33="+","есть",IF('Стяжки'!H33="-","нет",""))</f>
        <v>есть</v>
      </c>
      <c r="E589" s="317"/>
      <c r="F589" s="318">
        <f>IF(N('Стяжки'!G33)&lt;=0,"по запросу",CHOOSE($K$3,IF(N('Стяжки'!E33)&gt;0,N('Стяжки'!E33),N('Стяжки'!G33)),IF(N('Стяжки'!F33)&gt;0,N('Стяжки'!F33),N('Стяжки'!G33)),N('Стяжки'!G33)))</f>
        <v>473.9</v>
      </c>
      <c r="G589" s="319" t="str">
        <f>IF(I589&lt;=0,"",IF(ISNUMBER(F589),I589*F589,"по запросу"))</f>
        <v/>
      </c>
      <c r="H589" s="320">
        <f>N('Стяжки'!I33)</f>
        <v>0</v>
      </c>
      <c r="I589" s="320">
        <f>IF(N(E589)&gt;0,N(E589),H589)</f>
        <v>0</v>
      </c>
      <c r="J589" s="320">
        <f>I589*IF(N('Стяжки'!E33)&gt;0,N('Стяжки'!E33),N('Стяжки'!G33))</f>
        <v>0</v>
      </c>
      <c r="K589" s="320">
        <f>I589*IF(N('Стяжки'!F33)&gt;0,N('Стяжки'!F33),N('Стяжки'!G33))</f>
        <v>0</v>
      </c>
      <c r="L589" s="320">
        <f>N(L588)+(N(I589)&gt;0)</f>
        <v>0</v>
      </c>
    </row>
    <row r="590">
      <c r="A590" s="321" t="inlineStr">
        <is>
          <t xml:space="preserve">Стяжки</t>
        </is>
      </c>
      <c r="B590" s="314" t="str">
        <f>'Стяжки'!A34&amp;""</f>
        <v>K-370S</v>
      </c>
      <c r="C590" s="315" t="str">
        <f>'Стяжки'!B34&amp;""</f>
        <v>370мм*4,8мм, черные</v>
      </c>
      <c r="D590" s="316" t="str">
        <f>IF('Стяжки'!H34="+","есть",IF('Стяжки'!H34="-","нет",""))</f>
        <v>нет</v>
      </c>
      <c r="E590" s="317"/>
      <c r="F590" s="318">
        <f>IF(N('Стяжки'!G34)&lt;=0,"по запросу",CHOOSE($K$3,IF(N('Стяжки'!E34)&gt;0,N('Стяжки'!E34),N('Стяжки'!G34)),IF(N('Стяжки'!F34)&gt;0,N('Стяжки'!F34),N('Стяжки'!G34)),N('Стяжки'!G34)))</f>
        <v>628.8</v>
      </c>
      <c r="G590" s="319" t="str">
        <f>IF(I590&lt;=0,"",IF(ISNUMBER(F590),I590*F590,"по запросу"))</f>
        <v/>
      </c>
      <c r="H590" s="320">
        <f>N('Стяжки'!I34)</f>
        <v>0</v>
      </c>
      <c r="I590" s="320">
        <f>IF(N(E590)&gt;0,N(E590),H590)</f>
        <v>0</v>
      </c>
      <c r="J590" s="320">
        <f>I590*IF(N('Стяжки'!E34)&gt;0,N('Стяжки'!E34),N('Стяжки'!G34))</f>
        <v>0</v>
      </c>
      <c r="K590" s="320">
        <f>I590*IF(N('Стяжки'!F34)&gt;0,N('Стяжки'!F34),N('Стяжки'!G34))</f>
        <v>0</v>
      </c>
      <c r="L590" s="320">
        <f>N(L589)+(N(I590)&gt;0)</f>
        <v>0</v>
      </c>
    </row>
    <row r="591">
      <c r="A591" s="321" t="inlineStr">
        <is>
          <t xml:space="preserve">Стяжки</t>
        </is>
      </c>
      <c r="B591" s="314" t="str">
        <f>'Стяжки'!A35&amp;""</f>
        <v>K-500S</v>
      </c>
      <c r="C591" s="315" t="str">
        <f>'Стяжки'!B35&amp;""</f>
        <v>500мм*4,8мм, черные</v>
      </c>
      <c r="D591" s="316" t="str">
        <f>IF('Стяжки'!H35="+","есть",IF('Стяжки'!H35="-","нет",""))</f>
        <v>есть</v>
      </c>
      <c r="E591" s="317"/>
      <c r="F591" s="318">
        <f>IF(N('Стяжки'!G35)&lt;=0,"по запросу",CHOOSE($K$3,IF(N('Стяжки'!E35)&gt;0,N('Стяжки'!E35),N('Стяжки'!G35)),IF(N('Стяжки'!F35)&gt;0,N('Стяжки'!F35),N('Стяжки'!G35)),N('Стяжки'!G35)))</f>
        <v>1128.9</v>
      </c>
      <c r="G591" s="319" t="str">
        <f>IF(I591&lt;=0,"",IF(ISNUMBER(F591),I591*F591,"по запросу"))</f>
        <v/>
      </c>
      <c r="H591" s="320">
        <f>N('Стяжки'!I35)</f>
        <v>0</v>
      </c>
      <c r="I591" s="320">
        <f>IF(N(E591)&gt;0,N(E591),H591)</f>
        <v>0</v>
      </c>
      <c r="J591" s="320">
        <f>I591*IF(N('Стяжки'!E35)&gt;0,N('Стяжки'!E35),N('Стяжки'!G35))</f>
        <v>0</v>
      </c>
      <c r="K591" s="320">
        <f>I591*IF(N('Стяжки'!F35)&gt;0,N('Стяжки'!F35),N('Стяжки'!G35))</f>
        <v>0</v>
      </c>
      <c r="L591" s="320">
        <f>N(L590)+(N(I591)&gt;0)</f>
        <v>0</v>
      </c>
    </row>
    <row r="592">
      <c r="A592" s="321" t="inlineStr">
        <is>
          <t xml:space="preserve">Стяжки</t>
        </is>
      </c>
      <c r="B592" s="314" t="str">
        <f>'Стяжки'!A36&amp;""</f>
        <v>K-500H</v>
      </c>
      <c r="C592" s="315" t="str">
        <f>'Стяжки'!B36&amp;""</f>
        <v>500мм*7,6мм, черные</v>
      </c>
      <c r="D592" s="316" t="str">
        <f>IF('Стяжки'!H36="+","есть",IF('Стяжки'!H36="-","нет",""))</f>
        <v>есть</v>
      </c>
      <c r="E592" s="317"/>
      <c r="F592" s="318">
        <f>IF(N('Стяжки'!G36)&lt;=0,"по запросу",CHOOSE($K$3,IF(N('Стяжки'!E36)&gt;0,N('Стяжки'!E36),N('Стяжки'!G36)),IF(N('Стяжки'!F36)&gt;0,N('Стяжки'!F36),N('Стяжки'!G36)),N('Стяжки'!G36)))</f>
        <v>2000.8</v>
      </c>
      <c r="G592" s="319" t="str">
        <f>IF(I592&lt;=0,"",IF(ISNUMBER(F592),I592*F592,"по запросу"))</f>
        <v/>
      </c>
      <c r="H592" s="320">
        <f>N('Стяжки'!I36)</f>
        <v>0</v>
      </c>
      <c r="I592" s="320">
        <f>IF(N(E592)&gt;0,N(E592),H592)</f>
        <v>0</v>
      </c>
      <c r="J592" s="320">
        <f>I592*IF(N('Стяжки'!E36)&gt;0,N('Стяжки'!E36),N('Стяжки'!G36))</f>
        <v>0</v>
      </c>
      <c r="K592" s="320">
        <f>I592*IF(N('Стяжки'!F36)&gt;0,N('Стяжки'!F36),N('Стяжки'!G36))</f>
        <v>0</v>
      </c>
      <c r="L592" s="320">
        <f>N(L591)+(N(I592)&gt;0)</f>
        <v>0</v>
      </c>
    </row>
    <row r="593">
      <c r="A593" s="321" t="inlineStr">
        <is>
          <t xml:space="preserve">Стяжки</t>
        </is>
      </c>
      <c r="B593" s="314" t="str">
        <f>'Стяжки'!A37&amp;""</f>
        <v>K-530S /Italy</v>
      </c>
      <c r="C593" s="315" t="str">
        <f>'Стяжки'!B37&amp;""</f>
        <v>530мм*4,8мм, черные</v>
      </c>
      <c r="D593" s="316" t="str">
        <f>IF('Стяжки'!H37="+","есть",IF('Стяжки'!H37="-","нет",""))</f>
        <v>есть</v>
      </c>
      <c r="E593" s="317"/>
      <c r="F593" s="318">
        <f>IF(N('Стяжки'!G37)&lt;=0,"по запросу",CHOOSE($K$3,IF(N('Стяжки'!E37)&gt;0,N('Стяжки'!E37),N('Стяжки'!G37)),IF(N('Стяжки'!F37)&gt;0,N('Стяжки'!F37),N('Стяжки'!G37)),N('Стяжки'!G37)))</f>
        <v>1375.6</v>
      </c>
      <c r="G593" s="319" t="str">
        <f>IF(I593&lt;=0,"",IF(ISNUMBER(F593),I593*F593,"по запросу"))</f>
        <v/>
      </c>
      <c r="H593" s="320">
        <f>N('Стяжки'!I37)</f>
        <v>0</v>
      </c>
      <c r="I593" s="320">
        <f>IF(N(E593)&gt;0,N(E593),H593)</f>
        <v>0</v>
      </c>
      <c r="J593" s="320">
        <f>I593*IF(N('Стяжки'!E37)&gt;0,N('Стяжки'!E37),N('Стяжки'!G37))</f>
        <v>0</v>
      </c>
      <c r="K593" s="320">
        <f>I593*IF(N('Стяжки'!F37)&gt;0,N('Стяжки'!F37),N('Стяжки'!G37))</f>
        <v>0</v>
      </c>
      <c r="L593" s="320">
        <f>N(L592)+(N(I593)&gt;0)</f>
        <v>0</v>
      </c>
    </row>
    <row r="594" ht="30" customHeight="1">
      <c r="A594" s="321" t="inlineStr">
        <is>
          <t xml:space="preserve">Стяжки</t>
        </is>
      </c>
      <c r="C594" s="313" t="inlineStr">
        <is>
          <t xml:space="preserve">Стандартные, нейлон, устойчивы к истиранию, диапазон температур -35°С - +85°С , цвет белый, упаковка 100шт.</t>
        </is>
      </c>
      <c r="L594" s="320">
        <f>N(L593)+(N(I594)&gt;0)</f>
        <v>0</v>
      </c>
    </row>
    <row r="595">
      <c r="A595" s="321" t="inlineStr">
        <is>
          <t xml:space="preserve">Стяжки</t>
        </is>
      </c>
      <c r="B595" s="314" t="str">
        <f>'Стяжки'!A39&amp;""</f>
        <v>K-100M Natural</v>
      </c>
      <c r="C595" s="315" t="str">
        <f>'Стяжки'!B39&amp;""</f>
        <v>100мм*2,5мм, белые</v>
      </c>
      <c r="D595" s="316" t="str">
        <f>IF('Стяжки'!H39="+","есть",IF('Стяжки'!H39="-","нет",""))</f>
        <v>есть</v>
      </c>
      <c r="E595" s="317"/>
      <c r="F595" s="318">
        <f>IF(N('Стяжки'!G39)&lt;=0,"по запросу",CHOOSE($K$3,IF(N('Стяжки'!E39)&gt;0,N('Стяжки'!E39),N('Стяжки'!G39)),IF(N('Стяжки'!F39)&gt;0,N('Стяжки'!F39),N('Стяжки'!G39)),N('Стяжки'!G39)))</f>
        <v>89.3</v>
      </c>
      <c r="G595" s="319" t="str">
        <f>IF(I595&lt;=0,"",IF(ISNUMBER(F595),I595*F595,"по запросу"))</f>
        <v/>
      </c>
      <c r="H595" s="320">
        <f>N('Стяжки'!I39)</f>
        <v>0</v>
      </c>
      <c r="I595" s="320">
        <f>IF(N(E595)&gt;0,N(E595),H595)</f>
        <v>0</v>
      </c>
      <c r="J595" s="320">
        <f>I595*IF(N('Стяжки'!E39)&gt;0,N('Стяжки'!E39),N('Стяжки'!G39))</f>
        <v>0</v>
      </c>
      <c r="K595" s="320">
        <f>I595*IF(N('Стяжки'!F39)&gt;0,N('Стяжки'!F39),N('Стяжки'!G39))</f>
        <v>0</v>
      </c>
      <c r="L595" s="320">
        <f>N(L594)+(N(I595)&gt;0)</f>
        <v>0</v>
      </c>
    </row>
    <row r="596">
      <c r="A596" s="321" t="inlineStr">
        <is>
          <t xml:space="preserve">Стяжки</t>
        </is>
      </c>
      <c r="B596" s="314" t="str">
        <f>'Стяжки'!A40&amp;""</f>
        <v>K-100M /Italy Natural</v>
      </c>
      <c r="C596" s="315" t="str">
        <f>'Стяжки'!B40&amp;""</f>
        <v>100мм*2,5мм, белые</v>
      </c>
      <c r="D596" s="316" t="str">
        <f>IF('Стяжки'!H40="+","есть",IF('Стяжки'!H40="-","нет",""))</f>
        <v>есть</v>
      </c>
      <c r="E596" s="317"/>
      <c r="F596" s="318">
        <f>IF(N('Стяжки'!G40)&lt;=0,"по запросу",CHOOSE($K$3,IF(N('Стяжки'!E40)&gt;0,N('Стяжки'!E40),N('Стяжки'!G40)),IF(N('Стяжки'!F40)&gt;0,N('Стяжки'!F40),N('Стяжки'!G40)),N('Стяжки'!G40)))</f>
        <v>122.7</v>
      </c>
      <c r="G596" s="319" t="str">
        <f>IF(I596&lt;=0,"",IF(ISNUMBER(F596),I596*F596,"по запросу"))</f>
        <v/>
      </c>
      <c r="H596" s="320">
        <f>N('Стяжки'!I40)</f>
        <v>0</v>
      </c>
      <c r="I596" s="320">
        <f>IF(N(E596)&gt;0,N(E596),H596)</f>
        <v>0</v>
      </c>
      <c r="J596" s="320">
        <f>I596*IF(N('Стяжки'!E40)&gt;0,N('Стяжки'!E40),N('Стяжки'!G40))</f>
        <v>0</v>
      </c>
      <c r="K596" s="320">
        <f>I596*IF(N('Стяжки'!F40)&gt;0,N('Стяжки'!F40),N('Стяжки'!G40))</f>
        <v>0</v>
      </c>
      <c r="L596" s="320">
        <f>N(L595)+(N(I596)&gt;0)</f>
        <v>0</v>
      </c>
    </row>
    <row r="597">
      <c r="A597" s="321" t="inlineStr">
        <is>
          <t xml:space="preserve">Стяжки</t>
        </is>
      </c>
      <c r="B597" s="314" t="str">
        <f>'Стяжки'!A41&amp;""</f>
        <v>K-140M /Italy Natural</v>
      </c>
      <c r="C597" s="315" t="str">
        <f>'Стяжки'!B41&amp;""</f>
        <v>140мм*2,5мм, белые</v>
      </c>
      <c r="D597" s="316" t="str">
        <f>IF('Стяжки'!H41="+","есть",IF('Стяжки'!H41="-","нет",""))</f>
        <v/>
      </c>
      <c r="E597" s="317"/>
      <c r="F597" s="318">
        <f>IF(N('Стяжки'!G41)&lt;=0,"по запросу",CHOOSE($K$3,IF(N('Стяжки'!E41)&gt;0,N('Стяжки'!E41),N('Стяжки'!G41)),IF(N('Стяжки'!F41)&gt;0,N('Стяжки'!F41),N('Стяжки'!G41)),N('Стяжки'!G41)))</f>
        <v>151.3</v>
      </c>
      <c r="G597" s="319" t="str">
        <f>IF(I597&lt;=0,"",IF(ISNUMBER(F597),I597*F597,"по запросу"))</f>
        <v/>
      </c>
      <c r="H597" s="320">
        <f>N('Стяжки'!I41)</f>
        <v>0</v>
      </c>
      <c r="I597" s="320">
        <f>IF(N(E597)&gt;0,N(E597),H597)</f>
        <v>0</v>
      </c>
      <c r="J597" s="320">
        <f>I597*IF(N('Стяжки'!E41)&gt;0,N('Стяжки'!E41),N('Стяжки'!G41))</f>
        <v>0</v>
      </c>
      <c r="K597" s="320">
        <f>I597*IF(N('Стяжки'!F41)&gt;0,N('Стяжки'!F41),N('Стяжки'!G41))</f>
        <v>0</v>
      </c>
      <c r="L597" s="320">
        <f>N(L596)+(N(I597)&gt;0)</f>
        <v>0</v>
      </c>
    </row>
    <row r="598">
      <c r="A598" s="321" t="inlineStr">
        <is>
          <t xml:space="preserve">Стяжки</t>
        </is>
      </c>
      <c r="B598" s="314" t="str">
        <f>'Стяжки'!A42&amp;""</f>
        <v>K-140I /Italy Natural</v>
      </c>
      <c r="C598" s="315" t="str">
        <f>'Стяжки'!B42&amp;""</f>
        <v>140мм*3,6мм, белые</v>
      </c>
      <c r="D598" s="316" t="str">
        <f>IF('Стяжки'!H42="+","есть",IF('Стяжки'!H42="-","нет",""))</f>
        <v>есть</v>
      </c>
      <c r="E598" s="317"/>
      <c r="F598" s="318">
        <f>IF(N('Стяжки'!G42)&lt;=0,"по запросу",CHOOSE($K$3,IF(N('Стяжки'!E42)&gt;0,N('Стяжки'!E42),N('Стяжки'!G42)),IF(N('Стяжки'!F42)&gt;0,N('Стяжки'!F42),N('Стяжки'!G42)),N('Стяжки'!G42)))</f>
        <v>237.1</v>
      </c>
      <c r="G598" s="319" t="str">
        <f>IF(I598&lt;=0,"",IF(ISNUMBER(F598),I598*F598,"по запросу"))</f>
        <v/>
      </c>
      <c r="H598" s="320">
        <f>N('Стяжки'!I42)</f>
        <v>0</v>
      </c>
      <c r="I598" s="320">
        <f>IF(N(E598)&gt;0,N(E598),H598)</f>
        <v>0</v>
      </c>
      <c r="J598" s="320">
        <f>I598*IF(N('Стяжки'!E42)&gt;0,N('Стяжки'!E42),N('Стяжки'!G42))</f>
        <v>0</v>
      </c>
      <c r="K598" s="320">
        <f>I598*IF(N('Стяжки'!F42)&gt;0,N('Стяжки'!F42),N('Стяжки'!G42))</f>
        <v>0</v>
      </c>
      <c r="L598" s="320">
        <f>N(L597)+(N(I598)&gt;0)</f>
        <v>0</v>
      </c>
    </row>
    <row r="599">
      <c r="A599" s="321" t="inlineStr">
        <is>
          <t xml:space="preserve">Стяжки</t>
        </is>
      </c>
      <c r="B599" s="314" t="str">
        <f>'Стяжки'!A43&amp;""</f>
        <v>K-160M/Italy Natural</v>
      </c>
      <c r="C599" s="315" t="str">
        <f>'Стяжки'!B43&amp;""</f>
        <v>160мм*2,5мм, белые</v>
      </c>
      <c r="D599" s="316" t="str">
        <f>IF('Стяжки'!H43="+","есть",IF('Стяжки'!H43="-","нет",""))</f>
        <v>есть</v>
      </c>
      <c r="E599" s="317"/>
      <c r="F599" s="318">
        <f>IF(N('Стяжки'!G43)&lt;=0,"по запросу",CHOOSE($K$3,IF(N('Стяжки'!E43)&gt;0,N('Стяжки'!E43),N('Стяжки'!G43)),IF(N('Стяжки'!F43)&gt;0,N('Стяжки'!F43),N('Стяжки'!G43)),N('Стяжки'!G43)))</f>
        <v>206.1</v>
      </c>
      <c r="G599" s="319" t="str">
        <f>IF(I599&lt;=0,"",IF(ISNUMBER(F599),I599*F599,"по запросу"))</f>
        <v/>
      </c>
      <c r="H599" s="320">
        <f>N('Стяжки'!I43)</f>
        <v>0</v>
      </c>
      <c r="I599" s="320">
        <f>IF(N(E599)&gt;0,N(E599),H599)</f>
        <v>0</v>
      </c>
      <c r="J599" s="320">
        <f>I599*IF(N('Стяжки'!E43)&gt;0,N('Стяжки'!E43),N('Стяжки'!G43))</f>
        <v>0</v>
      </c>
      <c r="K599" s="320">
        <f>I599*IF(N('Стяжки'!F43)&gt;0,N('Стяжки'!F43),N('Стяжки'!G43))</f>
        <v>0</v>
      </c>
      <c r="L599" s="320">
        <f>N(L598)+(N(I599)&gt;0)</f>
        <v>0</v>
      </c>
    </row>
    <row r="600">
      <c r="A600" s="321" t="inlineStr">
        <is>
          <t xml:space="preserve">Стяжки</t>
        </is>
      </c>
      <c r="B600" s="314" t="str">
        <f>'Стяжки'!A44&amp;""</f>
        <v>K-200M /Italy Natural</v>
      </c>
      <c r="C600" s="315" t="str">
        <f>'Стяжки'!B44&amp;""</f>
        <v>200мм*2,5мм, белые</v>
      </c>
      <c r="D600" s="316" t="str">
        <f>IF('Стяжки'!H44="+","есть",IF('Стяжки'!H44="-","нет",""))</f>
        <v>есть</v>
      </c>
      <c r="E600" s="317"/>
      <c r="F600" s="318">
        <f>IF(N('Стяжки'!G44)&lt;=0,"по запросу",CHOOSE($K$3,IF(N('Стяжки'!E44)&gt;0,N('Стяжки'!E44),N('Стяжки'!G44)),IF(N('Стяжки'!F44)&gt;0,N('Стяжки'!F44),N('Стяжки'!G44)),N('Стяжки'!G44)))</f>
        <v>246.4</v>
      </c>
      <c r="G600" s="319" t="str">
        <f>IF(I600&lt;=0,"",IF(ISNUMBER(F600),I600*F600,"по запросу"))</f>
        <v/>
      </c>
      <c r="H600" s="320">
        <f>N('Стяжки'!I44)</f>
        <v>0</v>
      </c>
      <c r="I600" s="320">
        <f>IF(N(E600)&gt;0,N(E600),H600)</f>
        <v>0</v>
      </c>
      <c r="J600" s="320">
        <f>I600*IF(N('Стяжки'!E44)&gt;0,N('Стяжки'!E44),N('Стяжки'!G44))</f>
        <v>0</v>
      </c>
      <c r="K600" s="320">
        <f>I600*IF(N('Стяжки'!F44)&gt;0,N('Стяжки'!F44),N('Стяжки'!G44))</f>
        <v>0</v>
      </c>
      <c r="L600" s="320">
        <f>N(L599)+(N(I600)&gt;0)</f>
        <v>0</v>
      </c>
    </row>
    <row r="601">
      <c r="A601" s="321" t="inlineStr">
        <is>
          <t xml:space="preserve">Стяжки</t>
        </is>
      </c>
      <c r="B601" s="314" t="str">
        <f>'Стяжки'!A45&amp;""</f>
        <v>K-200M /Natural</v>
      </c>
      <c r="C601" s="315" t="str">
        <f>'Стяжки'!B45&amp;""</f>
        <v>200мм*2,5мм, белые</v>
      </c>
      <c r="D601" s="316" t="str">
        <f>IF('Стяжки'!H45="+","есть",IF('Стяжки'!H45="-","нет",""))</f>
        <v>есть</v>
      </c>
      <c r="E601" s="317"/>
      <c r="F601" s="318">
        <f>IF(N('Стяжки'!G45)&lt;=0,"по запросу",CHOOSE($K$3,IF(N('Стяжки'!E45)&gt;0,N('Стяжки'!E45),N('Стяжки'!G45)),IF(N('Стяжки'!F45)&gt;0,N('Стяжки'!F45),N('Стяжки'!G45)),N('Стяжки'!G45)))</f>
        <v>177.4</v>
      </c>
      <c r="G601" s="319" t="str">
        <f>IF(I601&lt;=0,"",IF(ISNUMBER(F601),I601*F601,"по запросу"))</f>
        <v/>
      </c>
      <c r="H601" s="320">
        <f>N('Стяжки'!I45)</f>
        <v>0</v>
      </c>
      <c r="I601" s="320">
        <f>IF(N(E601)&gt;0,N(E601),H601)</f>
        <v>0</v>
      </c>
      <c r="J601" s="320">
        <f>I601*IF(N('Стяжки'!E45)&gt;0,N('Стяжки'!E45),N('Стяжки'!G45))</f>
        <v>0</v>
      </c>
      <c r="K601" s="320">
        <f>I601*IF(N('Стяжки'!F45)&gt;0,N('Стяжки'!F45),N('Стяжки'!G45))</f>
        <v>0</v>
      </c>
      <c r="L601" s="320">
        <f>N(L600)+(N(I601)&gt;0)</f>
        <v>0</v>
      </c>
    </row>
    <row r="602">
      <c r="A602" s="321" t="inlineStr">
        <is>
          <t xml:space="preserve">Стяжки</t>
        </is>
      </c>
      <c r="B602" s="314" t="str">
        <f>'Стяжки'!A46&amp;""</f>
        <v>K-200I Natural</v>
      </c>
      <c r="C602" s="315" t="str">
        <f>'Стяжки'!B46&amp;""</f>
        <v>200мм*3,6мм, белые</v>
      </c>
      <c r="D602" s="316" t="str">
        <f>IF('Стяжки'!H46="+","есть",IF('Стяжки'!H46="-","нет",""))</f>
        <v>есть</v>
      </c>
      <c r="E602" s="317"/>
      <c r="F602" s="318">
        <f>IF(N('Стяжки'!G46)&lt;=0,"по запросу",CHOOSE($K$3,IF(N('Стяжки'!E46)&gt;0,N('Стяжки'!E46),N('Стяжки'!G46)),IF(N('Стяжки'!F46)&gt;0,N('Стяжки'!F46),N('Стяжки'!G46)),N('Стяжки'!G46)))</f>
        <v>293</v>
      </c>
      <c r="G602" s="319" t="str">
        <f>IF(I602&lt;=0,"",IF(ISNUMBER(F602),I602*F602,"по запросу"))</f>
        <v/>
      </c>
      <c r="H602" s="320">
        <f>N('Стяжки'!I46)</f>
        <v>0</v>
      </c>
      <c r="I602" s="320">
        <f>IF(N(E602)&gt;0,N(E602),H602)</f>
        <v>0</v>
      </c>
      <c r="J602" s="320">
        <f>I602*IF(N('Стяжки'!E46)&gt;0,N('Стяжки'!E46),N('Стяжки'!G46))</f>
        <v>0</v>
      </c>
      <c r="K602" s="320">
        <f>I602*IF(N('Стяжки'!F46)&gt;0,N('Стяжки'!F46),N('Стяжки'!G46))</f>
        <v>0</v>
      </c>
      <c r="L602" s="320">
        <f>N(L601)+(N(I602)&gt;0)</f>
        <v>0</v>
      </c>
    </row>
    <row r="603">
      <c r="A603" s="321" t="inlineStr">
        <is>
          <t xml:space="preserve">Стяжки</t>
        </is>
      </c>
      <c r="B603" s="314" t="str">
        <f>'Стяжки'!A47&amp;""</f>
        <v>K-200S Natural</v>
      </c>
      <c r="C603" s="315" t="str">
        <f>'Стяжки'!B47&amp;""</f>
        <v>200мм*4,8мм, белые</v>
      </c>
      <c r="D603" s="316" t="str">
        <f>IF('Стяжки'!H47="+","есть",IF('Стяжки'!H47="-","нет",""))</f>
        <v>есть</v>
      </c>
      <c r="E603" s="317"/>
      <c r="F603" s="318">
        <f>IF(N('Стяжки'!G47)&lt;=0,"по запросу",CHOOSE($K$3,IF(N('Стяжки'!E47)&gt;0,N('Стяжки'!E47),N('Стяжки'!G47)),IF(N('Стяжки'!F47)&gt;0,N('Стяжки'!F47),N('Стяжки'!G47)),N('Стяжки'!G47)))</f>
        <v>340.6</v>
      </c>
      <c r="G603" s="319" t="str">
        <f>IF(I603&lt;=0,"",IF(ISNUMBER(F603),I603*F603,"по запросу"))</f>
        <v/>
      </c>
      <c r="H603" s="320">
        <f>N('Стяжки'!I47)</f>
        <v>0</v>
      </c>
      <c r="I603" s="320">
        <f>IF(N(E603)&gt;0,N(E603),H603)</f>
        <v>0</v>
      </c>
      <c r="J603" s="320">
        <f>I603*IF(N('Стяжки'!E47)&gt;0,N('Стяжки'!E47),N('Стяжки'!G47))</f>
        <v>0</v>
      </c>
      <c r="K603" s="320">
        <f>I603*IF(N('Стяжки'!F47)&gt;0,N('Стяжки'!F47),N('Стяжки'!G47))</f>
        <v>0</v>
      </c>
      <c r="L603" s="320">
        <f>N(L602)+(N(I603)&gt;0)</f>
        <v>0</v>
      </c>
    </row>
    <row r="604">
      <c r="A604" s="321" t="inlineStr">
        <is>
          <t xml:space="preserve">Стяжки</t>
        </is>
      </c>
      <c r="B604" s="314" t="str">
        <f>'Стяжки'!A48&amp;""</f>
        <v>K-250I Natural</v>
      </c>
      <c r="C604" s="315" t="str">
        <f>'Стяжки'!B48&amp;""</f>
        <v>250мм*3,6мм, белые</v>
      </c>
      <c r="D604" s="316" t="str">
        <f>IF('Стяжки'!H48="+","есть",IF('Стяжки'!H48="-","нет",""))</f>
        <v>есть</v>
      </c>
      <c r="E604" s="317"/>
      <c r="F604" s="318">
        <f>IF(N('Стяжки'!G48)&lt;=0,"по запросу",CHOOSE($K$3,IF(N('Стяжки'!E48)&gt;0,N('Стяжки'!E48),N('Стяжки'!G48)),IF(N('Стяжки'!F48)&gt;0,N('Стяжки'!F48),N('Стяжки'!G48)),N('Стяжки'!G48)))</f>
        <v>368</v>
      </c>
      <c r="G604" s="319" t="str">
        <f>IF(I604&lt;=0,"",IF(ISNUMBER(F604),I604*F604,"по запросу"))</f>
        <v/>
      </c>
      <c r="H604" s="320">
        <f>N('Стяжки'!I48)</f>
        <v>0</v>
      </c>
      <c r="I604" s="320">
        <f>IF(N(E604)&gt;0,N(E604),H604)</f>
        <v>0</v>
      </c>
      <c r="J604" s="320">
        <f>I604*IF(N('Стяжки'!E48)&gt;0,N('Стяжки'!E48),N('Стяжки'!G48))</f>
        <v>0</v>
      </c>
      <c r="K604" s="320">
        <f>I604*IF(N('Стяжки'!F48)&gt;0,N('Стяжки'!F48),N('Стяжки'!G48))</f>
        <v>0</v>
      </c>
      <c r="L604" s="320">
        <f>N(L603)+(N(I604)&gt;0)</f>
        <v>0</v>
      </c>
    </row>
    <row r="605">
      <c r="A605" s="321" t="inlineStr">
        <is>
          <t xml:space="preserve">Стяжки</t>
        </is>
      </c>
      <c r="B605" s="314" t="str">
        <f>'Стяжки'!A49&amp;""</f>
        <v>K-250S Italy Natural</v>
      </c>
      <c r="C605" s="315" t="str">
        <f>'Стяжки'!B49&amp;""</f>
        <v>250мм*4,8мм, белые</v>
      </c>
      <c r="D605" s="316" t="str">
        <f>IF('Стяжки'!H49="+","есть",IF('Стяжки'!H49="-","нет",""))</f>
        <v>есть</v>
      </c>
      <c r="E605" s="317"/>
      <c r="F605" s="318">
        <f>IF(N('Стяжки'!G49)&lt;=0,"по запросу",CHOOSE($K$3,IF(N('Стяжки'!E49)&gt;0,N('Стяжки'!E49),N('Стяжки'!G49)),IF(N('Стяжки'!F49)&gt;0,N('Стяжки'!F49),N('Стяжки'!G49)),N('Стяжки'!G49)))</f>
        <v>593.1</v>
      </c>
      <c r="G605" s="319" t="str">
        <f>IF(I605&lt;=0,"",IF(ISNUMBER(F605),I605*F605,"по запросу"))</f>
        <v/>
      </c>
      <c r="H605" s="320">
        <f>N('Стяжки'!I49)</f>
        <v>0</v>
      </c>
      <c r="I605" s="320">
        <f>IF(N(E605)&gt;0,N(E605),H605)</f>
        <v>0</v>
      </c>
      <c r="J605" s="320">
        <f>I605*IF(N('Стяжки'!E49)&gt;0,N('Стяжки'!E49),N('Стяжки'!G49))</f>
        <v>0</v>
      </c>
      <c r="K605" s="320">
        <f>I605*IF(N('Стяжки'!F49)&gt;0,N('Стяжки'!F49),N('Стяжки'!G49))</f>
        <v>0</v>
      </c>
      <c r="L605" s="320">
        <f>N(L604)+(N(I605)&gt;0)</f>
        <v>0</v>
      </c>
    </row>
    <row r="606">
      <c r="A606" s="321" t="inlineStr">
        <is>
          <t xml:space="preserve">Стяжки</t>
        </is>
      </c>
      <c r="B606" s="314" t="str">
        <f>'Стяжки'!A50&amp;""</f>
        <v>K-280S Natural</v>
      </c>
      <c r="C606" s="315" t="str">
        <f>'Стяжки'!B50&amp;""</f>
        <v>280мм*4,8мм, белые</v>
      </c>
      <c r="D606" s="316" t="str">
        <f>IF('Стяжки'!H50="+","есть",IF('Стяжки'!H50="-","нет",""))</f>
        <v>есть</v>
      </c>
      <c r="E606" s="317"/>
      <c r="F606" s="318">
        <f>IF(N('Стяжки'!G50)&lt;=0,"по запросу",CHOOSE($K$3,IF(N('Стяжки'!E50)&gt;0,N('Стяжки'!E50),N('Стяжки'!G50)),IF(N('Стяжки'!F50)&gt;0,N('Стяжки'!F50),N('Стяжки'!G50)),N('Стяжки'!G50)))</f>
        <v>476.4</v>
      </c>
      <c r="G606" s="319" t="str">
        <f>IF(I606&lt;=0,"",IF(ISNUMBER(F606),I606*F606,"по запросу"))</f>
        <v/>
      </c>
      <c r="H606" s="320">
        <f>N('Стяжки'!I50)</f>
        <v>0</v>
      </c>
      <c r="I606" s="320">
        <f>IF(N(E606)&gt;0,N(E606),H606)</f>
        <v>0</v>
      </c>
      <c r="J606" s="320">
        <f>I606*IF(N('Стяжки'!E50)&gt;0,N('Стяжки'!E50),N('Стяжки'!G50))</f>
        <v>0</v>
      </c>
      <c r="K606" s="320">
        <f>I606*IF(N('Стяжки'!F50)&gt;0,N('Стяжки'!F50),N('Стяжки'!G50))</f>
        <v>0</v>
      </c>
      <c r="L606" s="320">
        <f>N(L605)+(N(I606)&gt;0)</f>
        <v>0</v>
      </c>
    </row>
    <row r="607">
      <c r="A607" s="321" t="inlineStr">
        <is>
          <t xml:space="preserve">Стяжки</t>
        </is>
      </c>
      <c r="B607" s="314" t="str">
        <f>'Стяжки'!A51&amp;""</f>
        <v>K-290I /Italy Natural</v>
      </c>
      <c r="C607" s="315" t="str">
        <f>'Стяжки'!B51&amp;""</f>
        <v>290мм*3,6мм, белые</v>
      </c>
      <c r="D607" s="316" t="str">
        <f>IF('Стяжки'!H51="+","есть",IF('Стяжки'!H51="-","нет",""))</f>
        <v>есть</v>
      </c>
      <c r="E607" s="317"/>
      <c r="F607" s="318">
        <f>IF(N('Стяжки'!G51)&lt;=0,"по запросу",CHOOSE($K$3,IF(N('Стяжки'!E51)&gt;0,N('Стяжки'!E51),N('Стяжки'!G51)),IF(N('Стяжки'!F51)&gt;0,N('Стяжки'!F51),N('Стяжки'!G51)),N('Стяжки'!G51)))</f>
        <v>516.9</v>
      </c>
      <c r="G607" s="319" t="str">
        <f>IF(I607&lt;=0,"",IF(ISNUMBER(F607),I607*F607,"по запросу"))</f>
        <v/>
      </c>
      <c r="H607" s="320">
        <f>N('Стяжки'!I51)</f>
        <v>0</v>
      </c>
      <c r="I607" s="320">
        <f>IF(N(E607)&gt;0,N(E607),H607)</f>
        <v>0</v>
      </c>
      <c r="J607" s="320">
        <f>I607*IF(N('Стяжки'!E51)&gt;0,N('Стяжки'!E51),N('Стяжки'!G51))</f>
        <v>0</v>
      </c>
      <c r="K607" s="320">
        <f>I607*IF(N('Стяжки'!F51)&gt;0,N('Стяжки'!F51),N('Стяжки'!G51))</f>
        <v>0</v>
      </c>
      <c r="L607" s="320">
        <f>N(L606)+(N(I607)&gt;0)</f>
        <v>0</v>
      </c>
    </row>
    <row r="608">
      <c r="A608" s="321" t="inlineStr">
        <is>
          <t xml:space="preserve">Стяжки</t>
        </is>
      </c>
      <c r="B608" s="314" t="str">
        <f>'Стяжки'!A52&amp;""</f>
        <v>K-290S /Italy Natural</v>
      </c>
      <c r="C608" s="315" t="str">
        <f>'Стяжки'!B52&amp;""</f>
        <v>290мм*4,8мм, белые</v>
      </c>
      <c r="D608" s="316" t="str">
        <f>IF('Стяжки'!H52="+","есть",IF('Стяжки'!H52="-","нет",""))</f>
        <v>есть</v>
      </c>
      <c r="E608" s="317"/>
      <c r="F608" s="318">
        <f>IF(N('Стяжки'!G52)&lt;=0,"по запросу",CHOOSE($K$3,IF(N('Стяжки'!E52)&gt;0,N('Стяжки'!E52),N('Стяжки'!G52)),IF(N('Стяжки'!F52)&gt;0,N('Стяжки'!F52),N('Стяжки'!G52)),N('Стяжки'!G52)))</f>
        <v>687.2</v>
      </c>
      <c r="G608" s="319" t="str">
        <f>IF(I608&lt;=0,"",IF(ISNUMBER(F608),I608*F608,"по запросу"))</f>
        <v/>
      </c>
      <c r="H608" s="320">
        <f>N('Стяжки'!I52)</f>
        <v>0</v>
      </c>
      <c r="I608" s="320">
        <f>IF(N(E608)&gt;0,N(E608),H608)</f>
        <v>0</v>
      </c>
      <c r="J608" s="320">
        <f>I608*IF(N('Стяжки'!E52)&gt;0,N('Стяжки'!E52),N('Стяжки'!G52))</f>
        <v>0</v>
      </c>
      <c r="K608" s="320">
        <f>I608*IF(N('Стяжки'!F52)&gt;0,N('Стяжки'!F52),N('Стяжки'!G52))</f>
        <v>0</v>
      </c>
      <c r="L608" s="320">
        <f>N(L607)+(N(I608)&gt;0)</f>
        <v>0</v>
      </c>
    </row>
    <row r="609">
      <c r="A609" s="321" t="inlineStr">
        <is>
          <t xml:space="preserve">Стяжки</t>
        </is>
      </c>
      <c r="B609" s="314" t="str">
        <f>'Стяжки'!A53&amp;""</f>
        <v>K-290H /Italy Natural</v>
      </c>
      <c r="C609" s="315" t="str">
        <f>'Стяжки'!B53&amp;""</f>
        <v>290мм*7,6мм, белые</v>
      </c>
      <c r="D609" s="316" t="str">
        <f>IF('Стяжки'!H53="+","есть",IF('Стяжки'!H53="-","нет",""))</f>
        <v/>
      </c>
      <c r="E609" s="317"/>
      <c r="F609" s="318">
        <f>IF(N('Стяжки'!G53)&lt;=0,"по запросу",CHOOSE($K$3,IF(N('Стяжки'!E53)&gt;0,N('Стяжки'!E53),N('Стяжки'!G53)),IF(N('Стяжки'!F53)&gt;0,N('Стяжки'!F53),N('Стяжки'!G53)),N('Стяжки'!G53)))</f>
        <v>1089.7</v>
      </c>
      <c r="G609" s="319" t="str">
        <f>IF(I609&lt;=0,"",IF(ISNUMBER(F609),I609*F609,"по запросу"))</f>
        <v/>
      </c>
      <c r="H609" s="320">
        <f>N('Стяжки'!I53)</f>
        <v>0</v>
      </c>
      <c r="I609" s="320">
        <f>IF(N(E609)&gt;0,N(E609),H609)</f>
        <v>0</v>
      </c>
      <c r="J609" s="320">
        <f>I609*IF(N('Стяжки'!E53)&gt;0,N('Стяжки'!E53),N('Стяжки'!G53))</f>
        <v>0</v>
      </c>
      <c r="K609" s="320">
        <f>I609*IF(N('Стяжки'!F53)&gt;0,N('Стяжки'!F53),N('Стяжки'!G53))</f>
        <v>0</v>
      </c>
      <c r="L609" s="320">
        <f>N(L608)+(N(I609)&gt;0)</f>
        <v>0</v>
      </c>
    </row>
    <row r="610">
      <c r="A610" s="321" t="inlineStr">
        <is>
          <t xml:space="preserve">Стяжки</t>
        </is>
      </c>
      <c r="B610" s="314" t="str">
        <f>'Стяжки'!A54&amp;""</f>
        <v>K-300I Natural</v>
      </c>
      <c r="C610" s="315" t="str">
        <f>'Стяжки'!B54&amp;""</f>
        <v>300мм*3,6мм, белые</v>
      </c>
      <c r="D610" s="316" t="str">
        <f>IF('Стяжки'!H54="+","есть",IF('Стяжки'!H54="-","нет",""))</f>
        <v>есть</v>
      </c>
      <c r="E610" s="317"/>
      <c r="F610" s="318">
        <f>IF(N('Стяжки'!G54)&lt;=0,"по запросу",CHOOSE($K$3,IF(N('Стяжки'!E54)&gt;0,N('Стяжки'!E54),N('Стяжки'!G54)),IF(N('Стяжки'!F54)&gt;0,N('Стяжки'!F54),N('Стяжки'!G54)),N('Стяжки'!G54)))</f>
        <v>384.8</v>
      </c>
      <c r="G610" s="319" t="str">
        <f>IF(I610&lt;=0,"",IF(ISNUMBER(F610),I610*F610,"по запросу"))</f>
        <v/>
      </c>
      <c r="H610" s="320">
        <f>N('Стяжки'!I54)</f>
        <v>0</v>
      </c>
      <c r="I610" s="320">
        <f>IF(N(E610)&gt;0,N(E610),H610)</f>
        <v>0</v>
      </c>
      <c r="J610" s="320">
        <f>I610*IF(N('Стяжки'!E54)&gt;0,N('Стяжки'!E54),N('Стяжки'!G54))</f>
        <v>0</v>
      </c>
      <c r="K610" s="320">
        <f>I610*IF(N('Стяжки'!F54)&gt;0,N('Стяжки'!F54),N('Стяжки'!G54))</f>
        <v>0</v>
      </c>
      <c r="L610" s="320">
        <f>N(L609)+(N(I610)&gt;0)</f>
        <v>0</v>
      </c>
    </row>
    <row r="611">
      <c r="A611" s="321" t="inlineStr">
        <is>
          <t xml:space="preserve">Стяжки</t>
        </is>
      </c>
      <c r="B611" s="314" t="str">
        <f>'Стяжки'!A55&amp;""</f>
        <v>K-360I /Italy Natural</v>
      </c>
      <c r="C611" s="315" t="str">
        <f>'Стяжки'!B55&amp;""</f>
        <v>360мм*3,6мм, белые</v>
      </c>
      <c r="D611" s="316" t="str">
        <f>IF('Стяжки'!H55="+","есть",IF('Стяжки'!H55="-","нет",""))</f>
        <v>есть</v>
      </c>
      <c r="E611" s="317"/>
      <c r="F611" s="318">
        <f>IF(N('Стяжки'!G55)&lt;=0,"по запросу",CHOOSE($K$3,IF(N('Стяжки'!E55)&gt;0,N('Стяжки'!E55),N('Стяжки'!G55)),IF(N('Стяжки'!F55)&gt;0,N('Стяжки'!F55),N('Стяжки'!G55)),N('Стяжки'!G55)))</f>
        <v>640.6</v>
      </c>
      <c r="G611" s="319" t="str">
        <f>IF(I611&lt;=0,"",IF(ISNUMBER(F611),I611*F611,"по запросу"))</f>
        <v/>
      </c>
      <c r="H611" s="320">
        <f>N('Стяжки'!I55)</f>
        <v>0</v>
      </c>
      <c r="I611" s="320">
        <f>IF(N(E611)&gt;0,N(E611),H611)</f>
        <v>0</v>
      </c>
      <c r="J611" s="320">
        <f>I611*IF(N('Стяжки'!E55)&gt;0,N('Стяжки'!E55),N('Стяжки'!G55))</f>
        <v>0</v>
      </c>
      <c r="K611" s="320">
        <f>I611*IF(N('Стяжки'!F55)&gt;0,N('Стяжки'!F55),N('Стяжки'!G55))</f>
        <v>0</v>
      </c>
      <c r="L611" s="320">
        <f>N(L610)+(N(I611)&gt;0)</f>
        <v>0</v>
      </c>
    </row>
    <row r="612">
      <c r="A612" s="321" t="inlineStr">
        <is>
          <t xml:space="preserve">Стяжки</t>
        </is>
      </c>
      <c r="B612" s="314" t="str">
        <f>'Стяжки'!A56&amp;""</f>
        <v>K-360S /Italy Natural</v>
      </c>
      <c r="C612" s="315" t="str">
        <f>'Стяжки'!B56&amp;""</f>
        <v>360мм*4,8мм, белые</v>
      </c>
      <c r="D612" s="316" t="str">
        <f>IF('Стяжки'!H56="+","есть",IF('Стяжки'!H56="-","нет",""))</f>
        <v>есть</v>
      </c>
      <c r="E612" s="317"/>
      <c r="F612" s="318">
        <f>IF(N('Стяжки'!G56)&lt;=0,"по запросу",CHOOSE($K$3,IF(N('Стяжки'!E56)&gt;0,N('Стяжки'!E56),N('Стяжки'!G56)),IF(N('Стяжки'!F56)&gt;0,N('Стяжки'!F56),N('Стяжки'!G56)),N('Стяжки'!G56)))</f>
        <v>852.6</v>
      </c>
      <c r="G612" s="319" t="str">
        <f>IF(I612&lt;=0,"",IF(ISNUMBER(F612),I612*F612,"по запросу"))</f>
        <v/>
      </c>
      <c r="H612" s="320">
        <f>N('Стяжки'!I56)</f>
        <v>0</v>
      </c>
      <c r="I612" s="320">
        <f>IF(N(E612)&gt;0,N(E612),H612)</f>
        <v>0</v>
      </c>
      <c r="J612" s="320">
        <f>I612*IF(N('Стяжки'!E56)&gt;0,N('Стяжки'!E56),N('Стяжки'!G56))</f>
        <v>0</v>
      </c>
      <c r="K612" s="320">
        <f>I612*IF(N('Стяжки'!F56)&gt;0,N('Стяжки'!F56),N('Стяжки'!G56))</f>
        <v>0</v>
      </c>
      <c r="L612" s="320">
        <f>N(L611)+(N(I612)&gt;0)</f>
        <v>0</v>
      </c>
    </row>
    <row r="613">
      <c r="A613" s="321" t="inlineStr">
        <is>
          <t xml:space="preserve">Стяжки</t>
        </is>
      </c>
      <c r="B613" s="314" t="str">
        <f>'Стяжки'!A57&amp;""</f>
        <v>K-360H /Italy Natural</v>
      </c>
      <c r="C613" s="315" t="str">
        <f>'Стяжки'!B57&amp;""</f>
        <v>360мм*7,6мм, белые</v>
      </c>
      <c r="D613" s="316" t="str">
        <f>IF('Стяжки'!H57="+","есть",IF('Стяжки'!H57="-","нет",""))</f>
        <v>есть</v>
      </c>
      <c r="E613" s="317"/>
      <c r="F613" s="318">
        <f>IF(N('Стяжки'!G57)&lt;=0,"по запросу",CHOOSE($K$3,IF(N('Стяжки'!E57)&gt;0,N('Стяжки'!E57),N('Стяжки'!G57)),IF(N('Стяжки'!F57)&gt;0,N('Стяжки'!F57),N('Стяжки'!G57)),N('Стяжки'!G57)))</f>
        <v>1352.8</v>
      </c>
      <c r="G613" s="319" t="str">
        <f>IF(I613&lt;=0,"",IF(ISNUMBER(F613),I613*F613,"по запросу"))</f>
        <v/>
      </c>
      <c r="H613" s="320">
        <f>N('Стяжки'!I57)</f>
        <v>0</v>
      </c>
      <c r="I613" s="320">
        <f>IF(N(E613)&gt;0,N(E613),H613)</f>
        <v>0</v>
      </c>
      <c r="J613" s="320">
        <f>I613*IF(N('Стяжки'!E57)&gt;0,N('Стяжки'!E57),N('Стяжки'!G57))</f>
        <v>0</v>
      </c>
      <c r="K613" s="320">
        <f>I613*IF(N('Стяжки'!F57)&gt;0,N('Стяжки'!F57),N('Стяжки'!G57))</f>
        <v>0</v>
      </c>
      <c r="L613" s="320">
        <f>N(L612)+(N(I613)&gt;0)</f>
        <v>0</v>
      </c>
    </row>
    <row r="614">
      <c r="A614" s="321" t="inlineStr">
        <is>
          <t xml:space="preserve">Стяжки</t>
        </is>
      </c>
      <c r="B614" s="314" t="str">
        <f>'Стяжки'!A58&amp;""</f>
        <v>K-370I Natural</v>
      </c>
      <c r="C614" s="315" t="str">
        <f>'Стяжки'!B58&amp;""</f>
        <v>370мм*3,6мм, белые</v>
      </c>
      <c r="D614" s="316" t="str">
        <f>IF('Стяжки'!H58="+","есть",IF('Стяжки'!H58="-","нет",""))</f>
        <v>есть</v>
      </c>
      <c r="E614" s="317"/>
      <c r="F614" s="318">
        <f>IF(N('Стяжки'!G58)&lt;=0,"по запросу",CHOOSE($K$3,IF(N('Стяжки'!E58)&gt;0,N('Стяжки'!E58),N('Стяжки'!G58)),IF(N('Стяжки'!F58)&gt;0,N('Стяжки'!F58),N('Стяжки'!G58)),N('Стяжки'!G58)))</f>
        <v>473.9</v>
      </c>
      <c r="G614" s="319" t="str">
        <f>IF(I614&lt;=0,"",IF(ISNUMBER(F614),I614*F614,"по запросу"))</f>
        <v/>
      </c>
      <c r="H614" s="320">
        <f>N('Стяжки'!I58)</f>
        <v>0</v>
      </c>
      <c r="I614" s="320">
        <f>IF(N(E614)&gt;0,N(E614),H614)</f>
        <v>0</v>
      </c>
      <c r="J614" s="320">
        <f>I614*IF(N('Стяжки'!E58)&gt;0,N('Стяжки'!E58),N('Стяжки'!G58))</f>
        <v>0</v>
      </c>
      <c r="K614" s="320">
        <f>I614*IF(N('Стяжки'!F58)&gt;0,N('Стяжки'!F58),N('Стяжки'!G58))</f>
        <v>0</v>
      </c>
      <c r="L614" s="320">
        <f>N(L613)+(N(I614)&gt;0)</f>
        <v>0</v>
      </c>
    </row>
    <row r="615">
      <c r="A615" s="321" t="inlineStr">
        <is>
          <t xml:space="preserve">Стяжки</t>
        </is>
      </c>
      <c r="B615" s="314" t="str">
        <f>'Стяжки'!A59&amp;""</f>
        <v>K-370S Natural</v>
      </c>
      <c r="C615" s="315" t="str">
        <f>'Стяжки'!B59&amp;""</f>
        <v>370мм*4,8мм, белые</v>
      </c>
      <c r="D615" s="316" t="str">
        <f>IF('Стяжки'!H59="+","есть",IF('Стяжки'!H59="-","нет",""))</f>
        <v>есть</v>
      </c>
      <c r="E615" s="317"/>
      <c r="F615" s="318">
        <f>IF(N('Стяжки'!G59)&lt;=0,"по запросу",CHOOSE($K$3,IF(N('Стяжки'!E59)&gt;0,N('Стяжки'!E59),N('Стяжки'!G59)),IF(N('Стяжки'!F59)&gt;0,N('Стяжки'!F59),N('Стяжки'!G59)),N('Стяжки'!G59)))</f>
        <v>628.8</v>
      </c>
      <c r="G615" s="319" t="str">
        <f>IF(I615&lt;=0,"",IF(ISNUMBER(F615),I615*F615,"по запросу"))</f>
        <v/>
      </c>
      <c r="H615" s="320">
        <f>N('Стяжки'!I59)</f>
        <v>0</v>
      </c>
      <c r="I615" s="320">
        <f>IF(N(E615)&gt;0,N(E615),H615)</f>
        <v>0</v>
      </c>
      <c r="J615" s="320">
        <f>I615*IF(N('Стяжки'!E59)&gt;0,N('Стяжки'!E59),N('Стяжки'!G59))</f>
        <v>0</v>
      </c>
      <c r="K615" s="320">
        <f>I615*IF(N('Стяжки'!F59)&gt;0,N('Стяжки'!F59),N('Стяжки'!G59))</f>
        <v>0</v>
      </c>
      <c r="L615" s="320">
        <f>N(L614)+(N(I615)&gt;0)</f>
        <v>0</v>
      </c>
    </row>
    <row r="616">
      <c r="A616" s="321" t="inlineStr">
        <is>
          <t xml:space="preserve">Стяжки</t>
        </is>
      </c>
      <c r="B616" s="314" t="str">
        <f>'Стяжки'!A60&amp;""</f>
        <v>K-530S /Italy Natural</v>
      </c>
      <c r="C616" s="315" t="str">
        <f>'Стяжки'!B60&amp;""</f>
        <v>530мм*4,8мм, белые</v>
      </c>
      <c r="D616" s="316" t="str">
        <f>IF('Стяжки'!H60="+","есть",IF('Стяжки'!H60="-","нет",""))</f>
        <v>есть</v>
      </c>
      <c r="E616" s="317"/>
      <c r="F616" s="318">
        <f>IF(N('Стяжки'!G60)&lt;=0,"по запросу",CHOOSE($K$3,IF(N('Стяжки'!E60)&gt;0,N('Стяжки'!E60),N('Стяжки'!G60)),IF(N('Стяжки'!F60)&gt;0,N('Стяжки'!F60),N('Стяжки'!G60)),N('Стяжки'!G60)))</f>
        <v>1375.6</v>
      </c>
      <c r="G616" s="319" t="str">
        <f>IF(I616&lt;=0,"",IF(ISNUMBER(F616),I616*F616,"по запросу"))</f>
        <v/>
      </c>
      <c r="H616" s="320">
        <f>N('Стяжки'!I60)</f>
        <v>0</v>
      </c>
      <c r="I616" s="320">
        <f>IF(N(E616)&gt;0,N(E616),H616)</f>
        <v>0</v>
      </c>
      <c r="J616" s="320">
        <f>I616*IF(N('Стяжки'!E60)&gt;0,N('Стяжки'!E60),N('Стяжки'!G60))</f>
        <v>0</v>
      </c>
      <c r="K616" s="320">
        <f>I616*IF(N('Стяжки'!F60)&gt;0,N('Стяжки'!F60),N('Стяжки'!G60))</f>
        <v>0</v>
      </c>
      <c r="L616" s="320">
        <f>N(L615)+(N(I616)&gt;0)</f>
        <v>0</v>
      </c>
    </row>
    <row r="617" ht="30" customHeight="1">
      <c r="A617" s="321" t="inlineStr">
        <is>
          <t xml:space="preserve">Стяжки</t>
        </is>
      </c>
      <c r="C617" s="313" t="inlineStr">
        <is>
          <t xml:space="preserve">Для наружного применения, нейлон, устойчивые к УФ, устойчивы к истиранию, диапазон температур -40°С- +85°С , цвет зеленый, упаковка 100шт.</t>
        </is>
      </c>
      <c r="L617" s="320">
        <f>N(L616)+(N(I617)&gt;0)</f>
        <v>0</v>
      </c>
    </row>
    <row r="618">
      <c r="A618" s="321" t="inlineStr">
        <is>
          <t xml:space="preserve">Стяжки</t>
        </is>
      </c>
      <c r="B618" s="314" t="str">
        <f>'Стяжки'!A62&amp;""</f>
        <v>K-200S /Italy UV green</v>
      </c>
      <c r="C618" s="315" t="str">
        <f>'Стяжки'!B62&amp;""</f>
        <v>200мм*4,8мм, зеленые</v>
      </c>
      <c r="D618" s="316" t="str">
        <f>IF('Стяжки'!H62="+","есть",IF('Стяжки'!H62="-","нет",""))</f>
        <v>есть</v>
      </c>
      <c r="E618" s="317"/>
      <c r="F618" s="318">
        <f>IF(N('Стяжки'!G62)&lt;=0,"по запросу",CHOOSE($K$3,IF(N('Стяжки'!E62)&gt;0,N('Стяжки'!E62),N('Стяжки'!G62)),IF(N('Стяжки'!F62)&gt;0,N('Стяжки'!F62),N('Стяжки'!G62)),N('Стяжки'!G62)))</f>
        <v>470.3</v>
      </c>
      <c r="G618" s="319" t="str">
        <f>IF(I618&lt;=0,"",IF(ISNUMBER(F618),I618*F618,"по запросу"))</f>
        <v/>
      </c>
      <c r="H618" s="320">
        <f>N('Стяжки'!I62)</f>
        <v>0</v>
      </c>
      <c r="I618" s="320">
        <f>IF(N(E618)&gt;0,N(E618),H618)</f>
        <v>0</v>
      </c>
      <c r="J618" s="320">
        <f>I618*IF(N('Стяжки'!E62)&gt;0,N('Стяжки'!E62),N('Стяжки'!G62))</f>
        <v>0</v>
      </c>
      <c r="K618" s="320">
        <f>I618*IF(N('Стяжки'!F62)&gt;0,N('Стяжки'!F62),N('Стяжки'!G62))</f>
        <v>0</v>
      </c>
      <c r="L618" s="320">
        <f>N(L617)+(N(I618)&gt;0)</f>
        <v>0</v>
      </c>
    </row>
    <row r="619" ht="30" customHeight="1">
      <c r="A619" s="321" t="inlineStr">
        <is>
          <t xml:space="preserve">Стяжки</t>
        </is>
      </c>
      <c r="C619" s="313" t="inlineStr">
        <is>
          <t xml:space="preserve">С отверстием под саморез, нейлон, устойчивы к истиранию, диапазон температур -40°С- +85°С , цвет черный и белый, упаковка 100шт.</t>
        </is>
      </c>
      <c r="L619" s="320">
        <f>N(L618)+(N(I619)&gt;0)</f>
        <v>0</v>
      </c>
    </row>
    <row r="620">
      <c r="A620" s="321" t="inlineStr">
        <is>
          <t xml:space="preserve">Стяжки</t>
        </is>
      </c>
      <c r="B620" s="314" t="str">
        <f>'Стяжки'!A64&amp;""</f>
        <v>ZK-100M</v>
      </c>
      <c r="C620" s="315" t="str">
        <f>'Стяжки'!B64&amp;""</f>
        <v>100мм*2,5мм, черные</v>
      </c>
      <c r="D620" s="316" t="str">
        <f>IF('Стяжки'!H64="+","есть",IF('Стяжки'!H64="-","нет",""))</f>
        <v>есть</v>
      </c>
      <c r="E620" s="317"/>
      <c r="F620" s="318">
        <f>IF(N('Стяжки'!G64)&lt;=0,"по запросу",CHOOSE($K$3,IF(N('Стяжки'!E64)&gt;0,N('Стяжки'!E64),N('Стяжки'!G64)),IF(N('Стяжки'!F64)&gt;0,N('Стяжки'!F64),N('Стяжки'!G64)),N('Стяжки'!G64)))</f>
        <v>184.7</v>
      </c>
      <c r="G620" s="319" t="str">
        <f>IF(I620&lt;=0,"",IF(ISNUMBER(F620),I620*F620,"по запросу"))</f>
        <v/>
      </c>
      <c r="H620" s="320">
        <f>N('Стяжки'!I64)</f>
        <v>0</v>
      </c>
      <c r="I620" s="320">
        <f>IF(N(E620)&gt;0,N(E620),H620)</f>
        <v>0</v>
      </c>
      <c r="J620" s="320">
        <f>I620*IF(N('Стяжки'!E64)&gt;0,N('Стяжки'!E64),N('Стяжки'!G64))</f>
        <v>0</v>
      </c>
      <c r="K620" s="320">
        <f>I620*IF(N('Стяжки'!F64)&gt;0,N('Стяжки'!F64),N('Стяжки'!G64))</f>
        <v>0</v>
      </c>
      <c r="L620" s="320">
        <f>N(L619)+(N(I620)&gt;0)</f>
        <v>0</v>
      </c>
    </row>
    <row r="621">
      <c r="A621" s="321" t="inlineStr">
        <is>
          <t xml:space="preserve">Стяжки</t>
        </is>
      </c>
      <c r="B621" s="314" t="str">
        <f>'Стяжки'!A65&amp;""</f>
        <v>ZK-100M Natural</v>
      </c>
      <c r="C621" s="315" t="str">
        <f>'Стяжки'!B65&amp;""</f>
        <v>100мм*2,5мм, белые</v>
      </c>
      <c r="D621" s="316" t="str">
        <f>IF('Стяжки'!H65="+","есть",IF('Стяжки'!H65="-","нет",""))</f>
        <v>есть</v>
      </c>
      <c r="E621" s="317"/>
      <c r="F621" s="318">
        <f>IF(N('Стяжки'!G65)&lt;=0,"по запросу",CHOOSE($K$3,IF(N('Стяжки'!E65)&gt;0,N('Стяжки'!E65),N('Стяжки'!G65)),IF(N('Стяжки'!F65)&gt;0,N('Стяжки'!F65),N('Стяжки'!G65)),N('Стяжки'!G65)))</f>
        <v>184.7</v>
      </c>
      <c r="G621" s="319" t="str">
        <f>IF(I621&lt;=0,"",IF(ISNUMBER(F621),I621*F621,"по запросу"))</f>
        <v/>
      </c>
      <c r="H621" s="320">
        <f>N('Стяжки'!I65)</f>
        <v>0</v>
      </c>
      <c r="I621" s="320">
        <f>IF(N(E621)&gt;0,N(E621),H621)</f>
        <v>0</v>
      </c>
      <c r="J621" s="320">
        <f>I621*IF(N('Стяжки'!E65)&gt;0,N('Стяжки'!E65),N('Стяжки'!G65))</f>
        <v>0</v>
      </c>
      <c r="K621" s="320">
        <f>I621*IF(N('Стяжки'!F65)&gt;0,N('Стяжки'!F65),N('Стяжки'!G65))</f>
        <v>0</v>
      </c>
      <c r="L621" s="320">
        <f>N(L620)+(N(I621)&gt;0)</f>
        <v>0</v>
      </c>
    </row>
    <row r="622">
      <c r="A622" s="321" t="inlineStr">
        <is>
          <t xml:space="preserve">Стяжки</t>
        </is>
      </c>
      <c r="B622" s="314" t="str">
        <f>'Стяжки'!A66&amp;""</f>
        <v>ZK-150I</v>
      </c>
      <c r="C622" s="315" t="str">
        <f>'Стяжки'!B66&amp;""</f>
        <v>150мм*3,6мм, черные</v>
      </c>
      <c r="D622" s="316" t="str">
        <f>IF('Стяжки'!H66="+","есть",IF('Стяжки'!H66="-","нет",""))</f>
        <v>есть</v>
      </c>
      <c r="E622" s="317"/>
      <c r="F622" s="318">
        <f>IF(N('Стяжки'!G66)&lt;=0,"по запросу",CHOOSE($K$3,IF(N('Стяжки'!E66)&gt;0,N('Стяжки'!E66),N('Стяжки'!G66)),IF(N('Стяжки'!F66)&gt;0,N('Стяжки'!F66),N('Стяжки'!G66)),N('Стяжки'!G66)))</f>
        <v>379</v>
      </c>
      <c r="G622" s="319" t="str">
        <f>IF(I622&lt;=0,"",IF(ISNUMBER(F622),I622*F622,"по запросу"))</f>
        <v/>
      </c>
      <c r="H622" s="320">
        <f>N('Стяжки'!I66)</f>
        <v>0</v>
      </c>
      <c r="I622" s="320">
        <f>IF(N(E622)&gt;0,N(E622),H622)</f>
        <v>0</v>
      </c>
      <c r="J622" s="320">
        <f>I622*IF(N('Стяжки'!E66)&gt;0,N('Стяжки'!E66),N('Стяжки'!G66))</f>
        <v>0</v>
      </c>
      <c r="K622" s="320">
        <f>I622*IF(N('Стяжки'!F66)&gt;0,N('Стяжки'!F66),N('Стяжки'!G66))</f>
        <v>0</v>
      </c>
      <c r="L622" s="320">
        <f>N(L621)+(N(I622)&gt;0)</f>
        <v>0</v>
      </c>
    </row>
    <row r="623">
      <c r="A623" s="321" t="inlineStr">
        <is>
          <t xml:space="preserve">Стяжки</t>
        </is>
      </c>
      <c r="B623" s="314" t="str">
        <f>'Стяжки'!A67&amp;""</f>
        <v>ZK-170I </v>
      </c>
      <c r="C623" s="315" t="str">
        <f>'Стяжки'!B67&amp;""</f>
        <v>170мм*3,6мм, черные</v>
      </c>
      <c r="D623" s="316" t="str">
        <f>IF('Стяжки'!H67="+","есть",IF('Стяжки'!H67="-","нет",""))</f>
        <v>есть</v>
      </c>
      <c r="E623" s="317"/>
      <c r="F623" s="318">
        <f>IF(N('Стяжки'!G67)&lt;=0,"по запросу",CHOOSE($K$3,IF(N('Стяжки'!E67)&gt;0,N('Стяжки'!E67),N('Стяжки'!G67)),IF(N('Стяжки'!F67)&gt;0,N('Стяжки'!F67),N('Стяжки'!G67)),N('Стяжки'!G67)))</f>
        <v>404.6</v>
      </c>
      <c r="G623" s="319" t="str">
        <f>IF(I623&lt;=0,"",IF(ISNUMBER(F623),I623*F623,"по запросу"))</f>
        <v/>
      </c>
      <c r="H623" s="320">
        <f>N('Стяжки'!I67)</f>
        <v>0</v>
      </c>
      <c r="I623" s="320">
        <f>IF(N(E623)&gt;0,N(E623),H623)</f>
        <v>0</v>
      </c>
      <c r="J623" s="320">
        <f>I623*IF(N('Стяжки'!E67)&gt;0,N('Стяжки'!E67),N('Стяжки'!G67))</f>
        <v>0</v>
      </c>
      <c r="K623" s="320">
        <f>I623*IF(N('Стяжки'!F67)&gt;0,N('Стяжки'!F67),N('Стяжки'!G67))</f>
        <v>0</v>
      </c>
      <c r="L623" s="320">
        <f>N(L622)+(N(I623)&gt;0)</f>
        <v>0</v>
      </c>
    </row>
    <row r="624">
      <c r="A624" s="321" t="inlineStr">
        <is>
          <t xml:space="preserve">Стяжки</t>
        </is>
      </c>
      <c r="B624" s="314" t="str">
        <f>'Стяжки'!A68&amp;""</f>
        <v>ZK-170I Natural</v>
      </c>
      <c r="C624" s="315" t="str">
        <f>'Стяжки'!B68&amp;""</f>
        <v>170мм*3,6мм, белые</v>
      </c>
      <c r="D624" s="316" t="str">
        <f>IF('Стяжки'!H68="+","есть",IF('Стяжки'!H68="-","нет",""))</f>
        <v>есть</v>
      </c>
      <c r="E624" s="317"/>
      <c r="F624" s="318">
        <f>IF(N('Стяжки'!G68)&lt;=0,"по запросу",CHOOSE($K$3,IF(N('Стяжки'!E68)&gt;0,N('Стяжки'!E68),N('Стяжки'!G68)),IF(N('Стяжки'!F68)&gt;0,N('Стяжки'!F68),N('Стяжки'!G68)),N('Стяжки'!G68)))</f>
        <v>404.6</v>
      </c>
      <c r="G624" s="319" t="str">
        <f>IF(I624&lt;=0,"",IF(ISNUMBER(F624),I624*F624,"по запросу"))</f>
        <v/>
      </c>
      <c r="H624" s="320">
        <f>N('Стяжки'!I68)</f>
        <v>0</v>
      </c>
      <c r="I624" s="320">
        <f>IF(N(E624)&gt;0,N(E624),H624)</f>
        <v>0</v>
      </c>
      <c r="J624" s="320">
        <f>I624*IF(N('Стяжки'!E68)&gt;0,N('Стяжки'!E68),N('Стяжки'!G68))</f>
        <v>0</v>
      </c>
      <c r="K624" s="320">
        <f>I624*IF(N('Стяжки'!F68)&gt;0,N('Стяжки'!F68),N('Стяжки'!G68))</f>
        <v>0</v>
      </c>
      <c r="L624" s="320">
        <f>N(L623)+(N(I624)&gt;0)</f>
        <v>0</v>
      </c>
    </row>
    <row r="625">
      <c r="A625" s="321" t="inlineStr">
        <is>
          <t xml:space="preserve">Стяжки</t>
        </is>
      </c>
      <c r="B625" s="314" t="str">
        <f>'Стяжки'!A69&amp;""</f>
        <v>ZK-200S</v>
      </c>
      <c r="C625" s="315" t="str">
        <f>'Стяжки'!B69&amp;""</f>
        <v>200мм*4,8мм, черные</v>
      </c>
      <c r="D625" s="316" t="str">
        <f>IF('Стяжки'!H69="+","есть",IF('Стяжки'!H69="-","нет",""))</f>
        <v>есть</v>
      </c>
      <c r="E625" s="317"/>
      <c r="F625" s="318">
        <f>IF(N('Стяжки'!G69)&lt;=0,"по запросу",CHOOSE($K$3,IF(N('Стяжки'!E69)&gt;0,N('Стяжки'!E69),N('Стяжки'!G69)),IF(N('Стяжки'!F69)&gt;0,N('Стяжки'!F69),N('Стяжки'!G69)),N('Стяжки'!G69)))</f>
        <v>449.7</v>
      </c>
      <c r="G625" s="319" t="str">
        <f>IF(I625&lt;=0,"",IF(ISNUMBER(F625),I625*F625,"по запросу"))</f>
        <v/>
      </c>
      <c r="H625" s="320">
        <f>N('Стяжки'!I69)</f>
        <v>0</v>
      </c>
      <c r="I625" s="320">
        <f>IF(N(E625)&gt;0,N(E625),H625)</f>
        <v>0</v>
      </c>
      <c r="J625" s="320">
        <f>I625*IF(N('Стяжки'!E69)&gt;0,N('Стяжки'!E69),N('Стяжки'!G69))</f>
        <v>0</v>
      </c>
      <c r="K625" s="320">
        <f>I625*IF(N('Стяжки'!F69)&gt;0,N('Стяжки'!F69),N('Стяжки'!G69))</f>
        <v>0</v>
      </c>
      <c r="L625" s="320">
        <f>N(L624)+(N(I625)&gt;0)</f>
        <v>0</v>
      </c>
    </row>
    <row r="626" ht="30" customHeight="1">
      <c r="A626" s="321" t="inlineStr">
        <is>
          <t xml:space="preserve">Стяжки</t>
        </is>
      </c>
      <c r="C626" s="313" t="inlineStr">
        <is>
          <t xml:space="preserve">С дюбелем, нейлон, устойчивы к истиранию, диапазон температур -40°С - +85°С , цвет черный, упаковка 100шт.</t>
        </is>
      </c>
      <c r="L626" s="320">
        <f>N(L625)+(N(I626)&gt;0)</f>
        <v>0</v>
      </c>
    </row>
    <row r="627">
      <c r="A627" s="321" t="inlineStr">
        <is>
          <t xml:space="preserve">Стяжки</t>
        </is>
      </c>
      <c r="B627" s="314" t="str">
        <f>'Стяжки'!A71&amp;""</f>
        <v>DK-155I</v>
      </c>
      <c r="C627" s="315" t="str">
        <f>'Стяжки'!B71&amp;""</f>
        <v>155мм*3,6мм</v>
      </c>
      <c r="D627" s="316" t="str">
        <f>IF('Стяжки'!H71="+","есть",IF('Стяжки'!H71="-","нет",""))</f>
        <v>есть</v>
      </c>
      <c r="E627" s="317"/>
      <c r="F627" s="318">
        <f>IF(N('Стяжки'!G71)&lt;=0,"по запросу",CHOOSE($K$3,IF(N('Стяжки'!E71)&gt;0,N('Стяжки'!E71),N('Стяжки'!G71)),IF(N('Стяжки'!F71)&gt;0,N('Стяжки'!F71),N('Стяжки'!G71)),N('Стяжки'!G71)))</f>
        <v>714.6</v>
      </c>
      <c r="G627" s="319" t="str">
        <f>IF(I627&lt;=0,"",IF(ISNUMBER(F627),I627*F627,"по запросу"))</f>
        <v/>
      </c>
      <c r="H627" s="320">
        <f>N('Стяжки'!I71)</f>
        <v>0</v>
      </c>
      <c r="I627" s="320">
        <f>IF(N(E627)&gt;0,N(E627),H627)</f>
        <v>0</v>
      </c>
      <c r="J627" s="320">
        <f>I627*IF(N('Стяжки'!E71)&gt;0,N('Стяжки'!E71),N('Стяжки'!G71))</f>
        <v>0</v>
      </c>
      <c r="K627" s="320">
        <f>I627*IF(N('Стяжки'!F71)&gt;0,N('Стяжки'!F71),N('Стяжки'!G71))</f>
        <v>0</v>
      </c>
      <c r="L627" s="320">
        <f>N(L626)+(N(I627)&gt;0)</f>
        <v>0</v>
      </c>
    </row>
    <row r="628" ht="20" customHeight="1">
      <c r="A628" s="321" t="inlineStr">
        <is>
          <t xml:space="preserve">Стяжки</t>
        </is>
      </c>
      <c r="B628" s="312" t="inlineStr">
        <is>
          <t xml:space="preserve">Стяжка для кабеля с двойным замком (для создания 2х параллельных жгутов или подвязки к стационарным объектам), упаковка 100шт.:</t>
        </is>
      </c>
      <c r="L628" s="320">
        <f>N(L627)+(N(I628)&gt;0)</f>
        <v>0</v>
      </c>
    </row>
    <row r="629">
      <c r="A629" s="321" t="inlineStr">
        <is>
          <t xml:space="preserve">Стяжки</t>
        </is>
      </c>
      <c r="B629" s="314" t="str">
        <f>'Стяжки'!A73&amp;""</f>
        <v>DHK-300S </v>
      </c>
      <c r="C629" s="315" t="str">
        <f>'Стяжки'!B73&amp;""</f>
        <v>300мм*4,8мм, черные</v>
      </c>
      <c r="D629" s="316" t="str">
        <f>IF('Стяжки'!H73="+","есть",IF('Стяжки'!H73="-","нет",""))</f>
        <v>есть</v>
      </c>
      <c r="E629" s="317"/>
      <c r="F629" s="318">
        <f>IF(N('Стяжки'!G73)&lt;=0,"по запросу",CHOOSE($K$3,IF(N('Стяжки'!E73)&gt;0,N('Стяжки'!E73),N('Стяжки'!G73)),IF(N('Стяжки'!F73)&gt;0,N('Стяжки'!F73),N('Стяжки'!G73)),N('Стяжки'!G73)))</f>
        <v>463.8</v>
      </c>
      <c r="G629" s="319" t="str">
        <f>IF(I629&lt;=0,"",IF(ISNUMBER(F629),I629*F629,"по запросу"))</f>
        <v/>
      </c>
      <c r="H629" s="320">
        <f>N('Стяжки'!I73)</f>
        <v>0</v>
      </c>
      <c r="I629" s="320">
        <f>IF(N(E629)&gt;0,N(E629),H629)</f>
        <v>0</v>
      </c>
      <c r="J629" s="320">
        <f>I629*IF(N('Стяжки'!E73)&gt;0,N('Стяжки'!E73),N('Стяжки'!G73))</f>
        <v>0</v>
      </c>
      <c r="K629" s="320">
        <f>I629*IF(N('Стяжки'!F73)&gt;0,N('Стяжки'!F73),N('Стяжки'!G73))</f>
        <v>0</v>
      </c>
      <c r="L629" s="320">
        <f>N(L628)+(N(I629)&gt;0)</f>
        <v>0</v>
      </c>
    </row>
    <row r="630">
      <c r="A630" s="321" t="inlineStr">
        <is>
          <t xml:space="preserve">Стяжки</t>
        </is>
      </c>
      <c r="B630" s="314" t="str">
        <f>'Стяжки'!A74&amp;""</f>
        <v>DHK-300S Natural</v>
      </c>
      <c r="C630" s="315" t="str">
        <f>'Стяжки'!B74&amp;""</f>
        <v>300мм*4,8мм, белые</v>
      </c>
      <c r="D630" s="316" t="str">
        <f>IF('Стяжки'!H74="+","есть",IF('Стяжки'!H74="-","нет",""))</f>
        <v>есть</v>
      </c>
      <c r="E630" s="317"/>
      <c r="F630" s="318">
        <f>IF(N('Стяжки'!G74)&lt;=0,"по запросу",CHOOSE($K$3,IF(N('Стяжки'!E74)&gt;0,N('Стяжки'!E74),N('Стяжки'!G74)),IF(N('Стяжки'!F74)&gt;0,N('Стяжки'!F74),N('Стяжки'!G74)),N('Стяжки'!G74)))</f>
        <v>463.8</v>
      </c>
      <c r="G630" s="319" t="str">
        <f>IF(I630&lt;=0,"",IF(ISNUMBER(F630),I630*F630,"по запросу"))</f>
        <v/>
      </c>
      <c r="H630" s="320">
        <f>N('Стяжки'!I74)</f>
        <v>0</v>
      </c>
      <c r="I630" s="320">
        <f>IF(N(E630)&gt;0,N(E630),H630)</f>
        <v>0</v>
      </c>
      <c r="J630" s="320">
        <f>I630*IF(N('Стяжки'!E74)&gt;0,N('Стяжки'!E74),N('Стяжки'!G74))</f>
        <v>0</v>
      </c>
      <c r="K630" s="320">
        <f>I630*IF(N('Стяжки'!F74)&gt;0,N('Стяжки'!F74),N('Стяжки'!G74))</f>
        <v>0</v>
      </c>
      <c r="L630" s="320">
        <f>N(L629)+(N(I630)&gt;0)</f>
        <v>0</v>
      </c>
    </row>
    <row r="631" ht="20" customHeight="1">
      <c r="A631" s="321" t="inlineStr">
        <is>
          <t xml:space="preserve">Стяжки</t>
        </is>
      </c>
      <c r="B631" s="312" t="inlineStr">
        <is>
          <t xml:space="preserve">Противоскользящие, нейлон, -40°С - +85°С, цвет в ассортименте, упаковка 6шт.</t>
        </is>
      </c>
      <c r="L631" s="320">
        <f>N(L630)+(N(I631)&gt;0)</f>
        <v>0</v>
      </c>
    </row>
    <row r="632">
      <c r="A632" s="321" t="inlineStr">
        <is>
          <t xml:space="preserve">Стяжки</t>
        </is>
      </c>
      <c r="B632" s="314" t="str">
        <f>'Стяжки'!A76&amp;""</f>
        <v>TK-912 Green</v>
      </c>
      <c r="C632" s="315" t="str">
        <f>'Стяжки'!B76&amp;""</f>
        <v>912мм*9мм, неоновый зеленый</v>
      </c>
      <c r="D632" s="316" t="str">
        <f>IF('Стяжки'!H76="+","есть",IF('Стяжки'!H76="-","нет",""))</f>
        <v>есть</v>
      </c>
      <c r="E632" s="317"/>
      <c r="F632" s="318">
        <f>IF(N('Стяжки'!G76)&lt;=0,"по запросу",CHOOSE($K$3,IF(N('Стяжки'!E76)&gt;0,N('Стяжки'!E76),N('Стяжки'!G76)),IF(N('Стяжки'!F76)&gt;0,N('Стяжки'!F76),N('Стяжки'!G76)),N('Стяжки'!G76)))</f>
        <v>713.9</v>
      </c>
      <c r="G632" s="319" t="str">
        <f>IF(I632&lt;=0,"",IF(ISNUMBER(F632),I632*F632,"по запросу"))</f>
        <v/>
      </c>
      <c r="H632" s="320">
        <f>N('Стяжки'!I76)</f>
        <v>0</v>
      </c>
      <c r="I632" s="320">
        <f>IF(N(E632)&gt;0,N(E632),H632)</f>
        <v>0</v>
      </c>
      <c r="J632" s="320">
        <f>I632*IF(N('Стяжки'!E76)&gt;0,N('Стяжки'!E76),N('Стяжки'!G76))</f>
        <v>0</v>
      </c>
      <c r="K632" s="320">
        <f>I632*IF(N('Стяжки'!F76)&gt;0,N('Стяжки'!F76),N('Стяжки'!G76))</f>
        <v>0</v>
      </c>
      <c r="L632" s="320">
        <f>N(L631)+(N(I632)&gt;0)</f>
        <v>0</v>
      </c>
    </row>
    <row r="633">
      <c r="A633" s="321" t="inlineStr">
        <is>
          <t xml:space="preserve">Стяжки</t>
        </is>
      </c>
      <c r="B633" s="314" t="str">
        <f>'Стяжки'!A77&amp;""</f>
        <v>TK-912 Yellow</v>
      </c>
      <c r="C633" s="315" t="str">
        <f>'Стяжки'!B77&amp;""</f>
        <v>912мм*9мм, неоновый желтый</v>
      </c>
      <c r="D633" s="316" t="str">
        <f>IF('Стяжки'!H77="+","есть",IF('Стяжки'!H77="-","нет",""))</f>
        <v>есть</v>
      </c>
      <c r="E633" s="317"/>
      <c r="F633" s="318">
        <f>IF(N('Стяжки'!G77)&lt;=0,"по запросу",CHOOSE($K$3,IF(N('Стяжки'!E77)&gt;0,N('Стяжки'!E77),N('Стяжки'!G77)),IF(N('Стяжки'!F77)&gt;0,N('Стяжки'!F77),N('Стяжки'!G77)),N('Стяжки'!G77)))</f>
        <v>713.9</v>
      </c>
      <c r="G633" s="319" t="str">
        <f>IF(I633&lt;=0,"",IF(ISNUMBER(F633),I633*F633,"по запросу"))</f>
        <v/>
      </c>
      <c r="H633" s="320">
        <f>N('Стяжки'!I77)</f>
        <v>0</v>
      </c>
      <c r="I633" s="320">
        <f>IF(N(E633)&gt;0,N(E633),H633)</f>
        <v>0</v>
      </c>
      <c r="J633" s="320">
        <f>I633*IF(N('Стяжки'!E77)&gt;0,N('Стяжки'!E77),N('Стяжки'!G77))</f>
        <v>0</v>
      </c>
      <c r="K633" s="320">
        <f>I633*IF(N('Стяжки'!F77)&gt;0,N('Стяжки'!F77),N('Стяжки'!G77))</f>
        <v>0</v>
      </c>
      <c r="L633" s="320">
        <f>N(L632)+(N(I633)&gt;0)</f>
        <v>0</v>
      </c>
    </row>
    <row r="634" ht="20" customHeight="1">
      <c r="A634" s="321" t="inlineStr">
        <is>
          <t xml:space="preserve">Стяжки</t>
        </is>
      </c>
      <c r="B634" s="312" t="inlineStr">
        <is>
          <t xml:space="preserve">Стяжка для кабеля VELCRO</t>
        </is>
      </c>
      <c r="L634" s="320">
        <f>N(L633)+(N(I634)&gt;0)</f>
        <v>0</v>
      </c>
    </row>
    <row r="635">
      <c r="A635" s="321" t="inlineStr">
        <is>
          <t xml:space="preserve">Стяжки</t>
        </is>
      </c>
      <c r="B635" s="314" t="str">
        <f>'Стяжки'!A79&amp;""</f>
        <v>VK-150V</v>
      </c>
      <c r="C635" s="315" t="str">
        <f>'Стяжки'!B79&amp;""</f>
        <v>150мм*10мм, черные, упаковка 20шт.</v>
      </c>
      <c r="D635" s="316" t="str">
        <f>IF('Стяжки'!H79="+","есть",IF('Стяжки'!H79="-","нет",""))</f>
        <v>есть</v>
      </c>
      <c r="E635" s="317"/>
      <c r="F635" s="318">
        <f>IF(N('Стяжки'!G79)&lt;=0,"по запросу",CHOOSE($K$3,IF(N('Стяжки'!E79)&gt;0,N('Стяжки'!E79),N('Стяжки'!G79)),IF(N('Стяжки'!F79)&gt;0,N('Стяжки'!F79),N('Стяжки'!G79)),N('Стяжки'!G79)))</f>
        <v>319.8</v>
      </c>
      <c r="G635" s="319" t="str">
        <f>IF(I635&lt;=0,"",IF(ISNUMBER(F635),I635*F635,"по запросу"))</f>
        <v/>
      </c>
      <c r="H635" s="320">
        <f>N('Стяжки'!I79)</f>
        <v>0</v>
      </c>
      <c r="I635" s="320">
        <f>IF(N(E635)&gt;0,N(E635),H635)</f>
        <v>0</v>
      </c>
      <c r="J635" s="320">
        <f>I635*IF(N('Стяжки'!E79)&gt;0,N('Стяжки'!E79),N('Стяжки'!G79))</f>
        <v>0</v>
      </c>
      <c r="K635" s="320">
        <f>I635*IF(N('Стяжки'!F79)&gt;0,N('Стяжки'!F79),N('Стяжки'!G79))</f>
        <v>0</v>
      </c>
      <c r="L635" s="320">
        <f>N(L634)+(N(I635)&gt;0)</f>
        <v>0</v>
      </c>
    </row>
    <row r="636">
      <c r="A636" s="321" t="inlineStr">
        <is>
          <t xml:space="preserve">Стяжки</t>
        </is>
      </c>
      <c r="B636" s="314" t="str">
        <f>'Стяжки'!A80&amp;""</f>
        <v>VK-1510 черн.</v>
      </c>
      <c r="C636" s="315" t="str">
        <f>'Стяжки'!B80&amp;""</f>
        <v>рулон 15мм*10м, цвет - черный</v>
      </c>
      <c r="D636" s="316" t="str">
        <f>IF('Стяжки'!H80="+","есть",IF('Стяжки'!H80="-","нет",""))</f>
        <v>есть</v>
      </c>
      <c r="E636" s="317"/>
      <c r="F636" s="318">
        <f>IF(N('Стяжки'!G80)&lt;=0,"по запросу",CHOOSE($K$3,IF(N('Стяжки'!E80)&gt;0,N('Стяжки'!E80),N('Стяжки'!G80)),IF(N('Стяжки'!F80)&gt;0,N('Стяжки'!F80),N('Стяжки'!G80)),N('Стяжки'!G80)))</f>
        <v>723.2</v>
      </c>
      <c r="G636" s="319" t="str">
        <f>IF(I636&lt;=0,"",IF(ISNUMBER(F636),I636*F636,"по запросу"))</f>
        <v/>
      </c>
      <c r="H636" s="320">
        <f>N('Стяжки'!I80)</f>
        <v>0</v>
      </c>
      <c r="I636" s="320">
        <f>IF(N(E636)&gt;0,N(E636),H636)</f>
        <v>0</v>
      </c>
      <c r="J636" s="320">
        <f>I636*IF(N('Стяжки'!E80)&gt;0,N('Стяжки'!E80),N('Стяжки'!G80))</f>
        <v>0</v>
      </c>
      <c r="K636" s="320">
        <f>I636*IF(N('Стяжки'!F80)&gt;0,N('Стяжки'!F80),N('Стяжки'!G80))</f>
        <v>0</v>
      </c>
      <c r="L636" s="320">
        <f>N(L635)+(N(I636)&gt;0)</f>
        <v>0</v>
      </c>
    </row>
    <row r="637">
      <c r="A637" s="321" t="inlineStr">
        <is>
          <t xml:space="preserve">Стяжки</t>
        </is>
      </c>
      <c r="B637" s="314" t="str">
        <f>'Стяжки'!A81&amp;""</f>
        <v>VK-1510 красн.</v>
      </c>
      <c r="C637" s="315" t="str">
        <f>'Стяжки'!B81&amp;""</f>
        <v>рулон 15мм*10м, цвет - красный</v>
      </c>
      <c r="D637" s="316" t="str">
        <f>IF('Стяжки'!H81="+","есть",IF('Стяжки'!H81="-","нет",""))</f>
        <v>есть</v>
      </c>
      <c r="E637" s="317"/>
      <c r="F637" s="318">
        <f>IF(N('Стяжки'!G81)&lt;=0,"по запросу",CHOOSE($K$3,IF(N('Стяжки'!E81)&gt;0,N('Стяжки'!E81),N('Стяжки'!G81)),IF(N('Стяжки'!F81)&gt;0,N('Стяжки'!F81),N('Стяжки'!G81)),N('Стяжки'!G81)))</f>
        <v>723.2</v>
      </c>
      <c r="G637" s="319" t="str">
        <f>IF(I637&lt;=0,"",IF(ISNUMBER(F637),I637*F637,"по запросу"))</f>
        <v/>
      </c>
      <c r="H637" s="320">
        <f>N('Стяжки'!I81)</f>
        <v>0</v>
      </c>
      <c r="I637" s="320">
        <f>IF(N(E637)&gt;0,N(E637),H637)</f>
        <v>0</v>
      </c>
      <c r="J637" s="320">
        <f>I637*IF(N('Стяжки'!E81)&gt;0,N('Стяжки'!E81),N('Стяжки'!G81))</f>
        <v>0</v>
      </c>
      <c r="K637" s="320">
        <f>I637*IF(N('Стяжки'!F81)&gt;0,N('Стяжки'!F81),N('Стяжки'!G81))</f>
        <v>0</v>
      </c>
      <c r="L637" s="320">
        <f>N(L636)+(N(I637)&gt;0)</f>
        <v>0</v>
      </c>
    </row>
    <row r="638" ht="20" customHeight="1">
      <c r="A638" s="321" t="inlineStr">
        <is>
          <t xml:space="preserve">Стяжки</t>
        </is>
      </c>
      <c r="B638" s="312" t="inlineStr">
        <is>
          <t xml:space="preserve">Держатели стяжек, крепеж на 2-сторонний скотч/саморез, упаковка 100шт.:</t>
        </is>
      </c>
      <c r="L638" s="320">
        <f>N(L637)+(N(I638)&gt;0)</f>
        <v>0</v>
      </c>
    </row>
    <row r="639">
      <c r="A639" s="321" t="inlineStr">
        <is>
          <t xml:space="preserve">Стяжки</t>
        </is>
      </c>
      <c r="B639" s="314" t="str">
        <f>'Стяжки'!A83&amp;""</f>
        <v>KT-401 черн.</v>
      </c>
      <c r="C639" s="315" t="str">
        <f>'Стяжки'!B83&amp;""</f>
        <v>L=19мм, W=19мм, H=3,9мм., цвет: черный</v>
      </c>
      <c r="D639" s="316" t="str">
        <f>IF('Стяжки'!H83="+","есть",IF('Стяжки'!H83="-","нет",""))</f>
        <v>есть</v>
      </c>
      <c r="E639" s="317"/>
      <c r="F639" s="318">
        <f>IF(N('Стяжки'!G83)&lt;=0,"по запросу",CHOOSE($K$3,IF(N('Стяжки'!E83)&gt;0,N('Стяжки'!E83),N('Стяжки'!G83)),IF(N('Стяжки'!F83)&gt;0,N('Стяжки'!F83),N('Стяжки'!G83)),N('Стяжки'!G83)))</f>
        <v>661.9</v>
      </c>
      <c r="G639" s="319" t="str">
        <f>IF(I639&lt;=0,"",IF(ISNUMBER(F639),I639*F639,"по запросу"))</f>
        <v/>
      </c>
      <c r="H639" s="320">
        <f>N('Стяжки'!I83)</f>
        <v>0</v>
      </c>
      <c r="I639" s="320">
        <f>IF(N(E639)&gt;0,N(E639),H639)</f>
        <v>0</v>
      </c>
      <c r="J639" s="320">
        <f>I639*IF(N('Стяжки'!E83)&gt;0,N('Стяжки'!E83),N('Стяжки'!G83))</f>
        <v>0</v>
      </c>
      <c r="K639" s="320">
        <f>I639*IF(N('Стяжки'!F83)&gt;0,N('Стяжки'!F83),N('Стяжки'!G83))</f>
        <v>0</v>
      </c>
      <c r="L639" s="320">
        <f>N(L638)+(N(I639)&gt;0)</f>
        <v>0</v>
      </c>
    </row>
    <row r="640">
      <c r="A640" s="321" t="inlineStr">
        <is>
          <t xml:space="preserve">Стяжки</t>
        </is>
      </c>
      <c r="B640" s="314" t="str">
        <f>'Стяжки'!A84&amp;""</f>
        <v>KT-401 бел.</v>
      </c>
      <c r="C640" s="315" t="str">
        <f>'Стяжки'!B84&amp;""</f>
        <v>L=19мм, W=19мм, H=3,9мм., цвет: белый  </v>
      </c>
      <c r="D640" s="316" t="str">
        <f>IF('Стяжки'!H84="+","есть",IF('Стяжки'!H84="-","нет",""))</f>
        <v>есть</v>
      </c>
      <c r="E640" s="317"/>
      <c r="F640" s="318">
        <f>IF(N('Стяжки'!G84)&lt;=0,"по запросу",CHOOSE($K$3,IF(N('Стяжки'!E84)&gt;0,N('Стяжки'!E84),N('Стяжки'!G84)),IF(N('Стяжки'!F84)&gt;0,N('Стяжки'!F84),N('Стяжки'!G84)),N('Стяжки'!G84)))</f>
        <v>661.9</v>
      </c>
      <c r="G640" s="319" t="str">
        <f>IF(I640&lt;=0,"",IF(ISNUMBER(F640),I640*F640,"по запросу"))</f>
        <v/>
      </c>
      <c r="H640" s="320">
        <f>N('Стяжки'!I84)</f>
        <v>0</v>
      </c>
      <c r="I640" s="320">
        <f>IF(N(E640)&gt;0,N(E640),H640)</f>
        <v>0</v>
      </c>
      <c r="J640" s="320">
        <f>I640*IF(N('Стяжки'!E84)&gt;0,N('Стяжки'!E84),N('Стяжки'!G84))</f>
        <v>0</v>
      </c>
      <c r="K640" s="320">
        <f>I640*IF(N('Стяжки'!F84)&gt;0,N('Стяжки'!F84),N('Стяжки'!G84))</f>
        <v>0</v>
      </c>
      <c r="L640" s="320">
        <f>N(L639)+(N(I640)&gt;0)</f>
        <v>0</v>
      </c>
    </row>
    <row r="641" ht="20" customHeight="1">
      <c r="A641" s="321" t="inlineStr">
        <is>
          <t xml:space="preserve">Стяжки</t>
        </is>
      </c>
      <c r="B641" s="312" t="inlineStr">
        <is>
          <t xml:space="preserve">Инструмент для автоматической обвязки</t>
        </is>
      </c>
      <c r="L641" s="320">
        <f>N(L640)+(N(I641)&gt;0)</f>
        <v>0</v>
      </c>
    </row>
    <row r="642">
      <c r="A642" s="321" t="inlineStr">
        <is>
          <t xml:space="preserve">Стяжки</t>
        </is>
      </c>
      <c r="B642" s="314" t="str">
        <f>'Стяжки'!A86&amp;""</f>
        <v>LY-07CT</v>
      </c>
      <c r="C642" s="315" t="str">
        <f>'Стяжки'!B86&amp;""</f>
        <v>инструмент для обвязки стяжек</v>
      </c>
      <c r="D642" s="316" t="str">
        <f>IF('Стяжки'!H86="+","есть",IF('Стяжки'!H86="-","нет",""))</f>
        <v>есть</v>
      </c>
      <c r="E642" s="317"/>
      <c r="F642" s="318">
        <f>IF(N('Стяжки'!G86)&lt;=0,"по запросу",CHOOSE($K$3,IF(N('Стяжки'!E86)&gt;0,N('Стяжки'!E86),N('Стяжки'!G86)),IF(N('Стяжки'!F86)&gt;0,N('Стяжки'!F86),N('Стяжки'!G86)),N('Стяжки'!G86)))</f>
        <v>1281.6</v>
      </c>
      <c r="G642" s="319" t="str">
        <f>IF(I642&lt;=0,"",IF(ISNUMBER(F642),I642*F642,"по запросу"))</f>
        <v/>
      </c>
      <c r="H642" s="320">
        <f>N('Стяжки'!I86)</f>
        <v>0</v>
      </c>
      <c r="I642" s="320">
        <f>IF(N(E642)&gt;0,N(E642),H642)</f>
        <v>0</v>
      </c>
      <c r="J642" s="320">
        <f>I642*IF(N('Стяжки'!E86)&gt;0,N('Стяжки'!E86),N('Стяжки'!G86))</f>
        <v>0</v>
      </c>
      <c r="K642" s="320">
        <f>I642*IF(N('Стяжки'!F86)&gt;0,N('Стяжки'!F86),N('Стяжки'!G86))</f>
        <v>0</v>
      </c>
      <c r="L642" s="320">
        <f>N(L641)+(N(I642)&gt;0)</f>
        <v>0</v>
      </c>
    </row>
    <row r="643" ht="28" customHeight="1">
      <c r="A643" s="310" t="inlineStr">
        <is>
          <t xml:space="preserve">Термотрубка</t>
        </is>
      </c>
      <c r="B643" s="310"/>
      <c r="C643" s="310"/>
      <c r="D643" s="310"/>
      <c r="E643" s="310"/>
      <c r="F643" s="310"/>
      <c r="G643" s="310"/>
      <c r="L643" s="320">
        <f>N(L642)+(N(I643)&gt;0)</f>
        <v>0</v>
      </c>
    </row>
    <row r="644" ht="24" customHeight="1">
      <c r="A644" s="321" t="inlineStr">
        <is>
          <t xml:space="preserve">Термотрубка</t>
        </is>
      </c>
      <c r="B644" s="311" t="inlineStr">
        <is>
          <t xml:space="preserve">ТРУБКИ ТЕРМОУСАДОЧНЫЕ</t>
        </is>
      </c>
      <c r="L644" s="320">
        <f>N(L643)+(N(I644)&gt;0)</f>
        <v>0</v>
      </c>
    </row>
    <row r="645" ht="20" customHeight="1">
      <c r="A645" s="321" t="inlineStr">
        <is>
          <t xml:space="preserve">Термотрубка</t>
        </is>
      </c>
      <c r="B645" s="312" t="inlineStr">
        <is>
          <t xml:space="preserve">Трубки термоусадочные, коэффициент усадки 2:1</t>
        </is>
      </c>
      <c r="L645" s="320">
        <f>N(L644)+(N(I645)&gt;0)</f>
        <v>0</v>
      </c>
    </row>
    <row r="646">
      <c r="A646" s="321" t="inlineStr">
        <is>
          <t xml:space="preserve">Термотрубка</t>
        </is>
      </c>
      <c r="B646" s="314" t="str">
        <f>'Термотрубка'!A9&amp;""</f>
        <v>SAA-BNT 1/2  (20шт)</v>
      </c>
      <c r="C646" s="315" t="str">
        <f>'Термотрубка'!B9&amp;""</f>
        <v>Прозрачный. D до усадки (min)=3,2мм, D после усадки (max)= 1,0мм.  Длина = 35 мм, 20 шт в уп.</v>
      </c>
      <c r="D646" s="316" t="str">
        <f>IF('Термотрубка'!H9="+","есть",IF('Термотрубка'!H9="-","нет",""))</f>
        <v>есть</v>
      </c>
      <c r="E646" s="317"/>
      <c r="F646" s="318">
        <f>IF(N('Термотрубка'!G9)&lt;=0,"по запросу",CHOOSE($K$3,IF(N('Термотрубка'!E9)&gt;0,N('Термотрубка'!E9),N('Термотрубка'!G9)),IF(N('Термотрубка'!F9)&gt;0,N('Термотрубка'!F9),N('Термотрубка'!G9)),N('Термотрубка'!G9)))</f>
        <v>39.1</v>
      </c>
      <c r="G646" s="319" t="str">
        <f>IF(I646&lt;=0,"",IF(ISNUMBER(F646),I646*F646,"по запросу"))</f>
        <v/>
      </c>
      <c r="H646" s="320">
        <f>N('Термотрубка'!I9)</f>
        <v>0</v>
      </c>
      <c r="I646" s="320">
        <f>IF(N(E646)&gt;0,N(E646),H646)</f>
        <v>0</v>
      </c>
      <c r="J646" s="320">
        <f>I646*IF(N('Термотрубка'!E9)&gt;0,N('Термотрубка'!E9),N('Термотрубка'!G9))</f>
        <v>0</v>
      </c>
      <c r="K646" s="320">
        <f>I646*IF(N('Термотрубка'!F9)&gt;0,N('Термотрубка'!F9),N('Термотрубка'!G9))</f>
        <v>0</v>
      </c>
      <c r="L646" s="320">
        <f>N(L645)+(N(I646)&gt;0)</f>
        <v>0</v>
      </c>
    </row>
    <row r="647">
      <c r="A647" s="321" t="inlineStr">
        <is>
          <t xml:space="preserve">Термотрубка</t>
        </is>
      </c>
      <c r="B647" s="314" t="str">
        <f>'Термотрубка'!A10&amp;""</f>
        <v>SAA-BNT 1  (20шт)</v>
      </c>
      <c r="C647" s="315" t="str">
        <f>'Термотрубка'!B10&amp;""</f>
        <v>Красный. D до усадки (min)= 4,8мм, D после усадки (max)= 1,5мм.  Длина= 35мм, 20 шт в уп.</v>
      </c>
      <c r="D647" s="316" t="str">
        <f>IF('Термотрубка'!H10="+","есть",IF('Термотрубка'!H10="-","нет",""))</f>
        <v>есть</v>
      </c>
      <c r="E647" s="317"/>
      <c r="F647" s="318">
        <f>IF(N('Термотрубка'!G10)&lt;=0,"по запросу",CHOOSE($K$3,IF(N('Термотрубка'!E10)&gt;0,N('Термотрубка'!E10),N('Термотрубка'!G10)),IF(N('Термотрубка'!F10)&gt;0,N('Термотрубка'!F10),N('Термотрубка'!G10)),N('Термотрубка'!G10)))</f>
        <v>39.1</v>
      </c>
      <c r="G647" s="319" t="str">
        <f>IF(I647&lt;=0,"",IF(ISNUMBER(F647),I647*F647,"по запросу"))</f>
        <v/>
      </c>
      <c r="H647" s="320">
        <f>N('Термотрубка'!I10)</f>
        <v>0</v>
      </c>
      <c r="I647" s="320">
        <f>IF(N(E647)&gt;0,N(E647),H647)</f>
        <v>0</v>
      </c>
      <c r="J647" s="320">
        <f>I647*IF(N('Термотрубка'!E10)&gt;0,N('Термотрубка'!E10),N('Термотрубка'!G10))</f>
        <v>0</v>
      </c>
      <c r="K647" s="320">
        <f>I647*IF(N('Термотрубка'!F10)&gt;0,N('Термотрубка'!F10),N('Термотрубка'!G10))</f>
        <v>0</v>
      </c>
      <c r="L647" s="320">
        <f>N(L646)+(N(I647)&gt;0)</f>
        <v>0</v>
      </c>
    </row>
    <row r="648">
      <c r="A648" s="321" t="inlineStr">
        <is>
          <t xml:space="preserve">Термотрубка</t>
        </is>
      </c>
      <c r="B648" s="314" t="str">
        <f>'Термотрубка'!A11&amp;""</f>
        <v>SAA-BNT 2  (20шт)</v>
      </c>
      <c r="C648" s="315" t="str">
        <f>'Термотрубка'!B11&amp;""</f>
        <v>Синий. D до усадки (min)= 5,8мм, D после усадки (max)= 1,8мм.  Длина= 35 мм, 20 шт в уп.</v>
      </c>
      <c r="D648" s="316" t="str">
        <f>IF('Термотрубка'!H11="+","есть",IF('Термотрубка'!H11="-","нет",""))</f>
        <v>есть</v>
      </c>
      <c r="E648" s="317"/>
      <c r="F648" s="318">
        <f>IF(N('Термотрубка'!G11)&lt;=0,"по запросу",CHOOSE($K$3,IF(N('Термотрубка'!E11)&gt;0,N('Термотрубка'!E11),N('Термотрубка'!G11)),IF(N('Термотрубка'!F11)&gt;0,N('Термотрубка'!F11),N('Термотрубка'!G11)),N('Термотрубка'!G11)))</f>
        <v>41.6</v>
      </c>
      <c r="G648" s="319" t="str">
        <f>IF(I648&lt;=0,"",IF(ISNUMBER(F648),I648*F648,"по запросу"))</f>
        <v/>
      </c>
      <c r="H648" s="320">
        <f>N('Термотрубка'!I11)</f>
        <v>0</v>
      </c>
      <c r="I648" s="320">
        <f>IF(N(E648)&gt;0,N(E648),H648)</f>
        <v>0</v>
      </c>
      <c r="J648" s="320">
        <f>I648*IF(N('Термотрубка'!E11)&gt;0,N('Термотрубка'!E11),N('Термотрубка'!G11))</f>
        <v>0</v>
      </c>
      <c r="K648" s="320">
        <f>I648*IF(N('Термотрубка'!F11)&gt;0,N('Термотрубка'!F11),N('Термотрубка'!G11))</f>
        <v>0</v>
      </c>
      <c r="L648" s="320">
        <f>N(L647)+(N(I648)&gt;0)</f>
        <v>0</v>
      </c>
    </row>
    <row r="649">
      <c r="A649" s="321" t="inlineStr">
        <is>
          <t xml:space="preserve">Термотрубка</t>
        </is>
      </c>
      <c r="B649" s="314" t="str">
        <f>'Термотрубка'!A12&amp;""</f>
        <v>SAA-BNT 5  (20шт)</v>
      </c>
      <c r="C649" s="315" t="str">
        <f>'Термотрубка'!B12&amp;""</f>
        <v>Красный. D до усадки (min)= 6,8мм, D после усадки (max)= 2,2мм.  Длина= 40 мм, 20 шт в уп.</v>
      </c>
      <c r="D649" s="316" t="str">
        <f>IF('Термотрубка'!H12="+","есть",IF('Термотрубка'!H12="-","нет",""))</f>
        <v>есть</v>
      </c>
      <c r="E649" s="317"/>
      <c r="F649" s="318">
        <f>IF(N('Термотрубка'!G12)&lt;=0,"по запросу",CHOOSE($K$3,IF(N('Термотрубка'!E12)&gt;0,N('Термотрубка'!E12),N('Термотрубка'!G12)),IF(N('Термотрубка'!F12)&gt;0,N('Термотрубка'!F12),N('Термотрубка'!G12)),N('Термотрубка'!G12)))</f>
        <v>52.2</v>
      </c>
      <c r="G649" s="319" t="str">
        <f>IF(I649&lt;=0,"",IF(ISNUMBER(F649),I649*F649,"по запросу"))</f>
        <v/>
      </c>
      <c r="H649" s="320">
        <f>N('Термотрубка'!I12)</f>
        <v>0</v>
      </c>
      <c r="I649" s="320">
        <f>IF(N(E649)&gt;0,N(E649),H649)</f>
        <v>0</v>
      </c>
      <c r="J649" s="320">
        <f>I649*IF(N('Термотрубка'!E12)&gt;0,N('Термотрубка'!E12),N('Термотрубка'!G12))</f>
        <v>0</v>
      </c>
      <c r="K649" s="320">
        <f>I649*IF(N('Термотрубка'!F12)&gt;0,N('Термотрубка'!F12),N('Термотрубка'!G12))</f>
        <v>0</v>
      </c>
      <c r="L649" s="320">
        <f>N(L648)+(N(I649)&gt;0)</f>
        <v>0</v>
      </c>
    </row>
    <row r="650">
      <c r="A650" s="321" t="inlineStr">
        <is>
          <t xml:space="preserve">Термотрубка</t>
        </is>
      </c>
      <c r="B650" s="314" t="str">
        <f>'Термотрубка'!A13&amp;""</f>
        <v>SA-2,5</v>
      </c>
      <c r="C650" s="315" t="str">
        <f>'Термотрубка'!B13&amp;""</f>
        <v>Черный. D до усадки (min)=2,5мм, D после усадки (max)= 1,25мм.  200м</v>
      </c>
      <c r="D650" s="316" t="str">
        <f>IF('Термотрубка'!H13="+","есть",IF('Термотрубка'!H13="-","нет",""))</f>
        <v>есть</v>
      </c>
      <c r="E650" s="317"/>
      <c r="F650" s="318">
        <f>IF(N('Термотрубка'!G13)&lt;=0,"по запросу",CHOOSE($K$3,IF(N('Термотрубка'!E13)&gt;0,N('Термотрубка'!E13),N('Термотрубка'!G13)),IF(N('Термотрубка'!F13)&gt;0,N('Термотрубка'!F13),N('Термотрубка'!G13)),N('Термотрубка'!G13)))</f>
        <v>2012.6</v>
      </c>
      <c r="G650" s="319" t="str">
        <f>IF(I650&lt;=0,"",IF(ISNUMBER(F650),I650*F650,"по запросу"))</f>
        <v/>
      </c>
      <c r="H650" s="320">
        <f>N('Термотрубка'!I13)</f>
        <v>0</v>
      </c>
      <c r="I650" s="320">
        <f>IF(N(E650)&gt;0,N(E650),H650)</f>
        <v>0</v>
      </c>
      <c r="J650" s="320">
        <f>I650*IF(N('Термотрубка'!E13)&gt;0,N('Термотрубка'!E13),N('Термотрубка'!G13))</f>
        <v>0</v>
      </c>
      <c r="K650" s="320">
        <f>I650*IF(N('Термотрубка'!F13)&gt;0,N('Термотрубка'!F13),N('Термотрубка'!G13))</f>
        <v>0</v>
      </c>
      <c r="L650" s="320">
        <f>N(L649)+(N(I650)&gt;0)</f>
        <v>0</v>
      </c>
    </row>
    <row r="651">
      <c r="A651" s="321" t="inlineStr">
        <is>
          <t xml:space="preserve">Термотрубка</t>
        </is>
      </c>
      <c r="B651" s="314" t="str">
        <f>'Термотрубка'!A14&amp;""</f>
        <v>SA-2,5 (10м)</v>
      </c>
      <c r="C651" s="315" t="str">
        <f>'Термотрубка'!B14&amp;""</f>
        <v>Черный. D до усадки (min)=2,5мм, D после усадки (max)= 1,25мм.  10м</v>
      </c>
      <c r="D651" s="316" t="str">
        <f>IF('Термотрубка'!H14="+","есть",IF('Термотрубка'!H14="-","нет",""))</f>
        <v>есть</v>
      </c>
      <c r="E651" s="317"/>
      <c r="F651" s="318">
        <f>IF(N('Термотрубка'!G14)&lt;=0,"по запросу",CHOOSE($K$3,IF(N('Термотрубка'!E14)&gt;0,N('Термотрубка'!E14),N('Термотрубка'!G14)),IF(N('Термотрубка'!F14)&gt;0,N('Термотрубка'!F14),N('Термотрубка'!G14)),N('Термотрубка'!G14)))</f>
        <v>110.9</v>
      </c>
      <c r="G651" s="319" t="str">
        <f>IF(I651&lt;=0,"",IF(ISNUMBER(F651),I651*F651,"по запросу"))</f>
        <v/>
      </c>
      <c r="H651" s="320">
        <f>N('Термотрубка'!I14)</f>
        <v>0</v>
      </c>
      <c r="I651" s="320">
        <f>IF(N(E651)&gt;0,N(E651),H651)</f>
        <v>0</v>
      </c>
      <c r="J651" s="320">
        <f>I651*IF(N('Термотрубка'!E14)&gt;0,N('Термотрубка'!E14),N('Термотрубка'!G14))</f>
        <v>0</v>
      </c>
      <c r="K651" s="320">
        <f>I651*IF(N('Термотрубка'!F14)&gt;0,N('Термотрубка'!F14),N('Термотрубка'!G14))</f>
        <v>0</v>
      </c>
      <c r="L651" s="320">
        <f>N(L650)+(N(I651)&gt;0)</f>
        <v>0</v>
      </c>
    </row>
    <row r="652">
      <c r="A652" s="321" t="inlineStr">
        <is>
          <t xml:space="preserve">Термотрубка</t>
        </is>
      </c>
      <c r="B652" s="314" t="str">
        <f>'Термотрубка'!A15&amp;""</f>
        <v>SA-4</v>
      </c>
      <c r="C652" s="315" t="str">
        <f>'Термотрубка'!B15&amp;""</f>
        <v>Черный. D до усадки (min)=4мм, D после усадки (max)= 2мм.  200м</v>
      </c>
      <c r="D652" s="316" t="str">
        <f>IF('Термотрубка'!H15="+","есть",IF('Термотрубка'!H15="-","нет",""))</f>
        <v>есть</v>
      </c>
      <c r="E652" s="317"/>
      <c r="F652" s="318">
        <f>IF(N('Термотрубка'!G15)&lt;=0,"по запросу",CHOOSE($K$3,IF(N('Термотрубка'!E15)&gt;0,N('Термотрубка'!E15),N('Термотрубка'!G15)),IF(N('Термотрубка'!F15)&gt;0,N('Термотрубка'!F15),N('Термотрубка'!G15)),N('Термотрубка'!G15)))</f>
        <v>3220.1</v>
      </c>
      <c r="G652" s="319" t="str">
        <f>IF(I652&lt;=0,"",IF(ISNUMBER(F652),I652*F652,"по запросу"))</f>
        <v/>
      </c>
      <c r="H652" s="320">
        <f>N('Термотрубка'!I15)</f>
        <v>0</v>
      </c>
      <c r="I652" s="320">
        <f>IF(N(E652)&gt;0,N(E652),H652)</f>
        <v>0</v>
      </c>
      <c r="J652" s="320">
        <f>I652*IF(N('Термотрубка'!E15)&gt;0,N('Термотрубка'!E15),N('Термотрубка'!G15))</f>
        <v>0</v>
      </c>
      <c r="K652" s="320">
        <f>I652*IF(N('Термотрубка'!F15)&gt;0,N('Термотрубка'!F15),N('Термотрубка'!G15))</f>
        <v>0</v>
      </c>
      <c r="L652" s="320">
        <f>N(L651)+(N(I652)&gt;0)</f>
        <v>0</v>
      </c>
    </row>
    <row r="653">
      <c r="A653" s="321" t="inlineStr">
        <is>
          <t xml:space="preserve">Термотрубка</t>
        </is>
      </c>
      <c r="B653" s="314" t="str">
        <f>'Термотрубка'!A16&amp;""</f>
        <v>SA-4 (10м)</v>
      </c>
      <c r="C653" s="315" t="str">
        <f>'Термотрубка'!B16&amp;""</f>
        <v>Черный. D до усадки (min)=4мм, D после усадки (max)= 2мм.  10м</v>
      </c>
      <c r="D653" s="316" t="str">
        <f>IF('Термотрубка'!H16="+","есть",IF('Термотрубка'!H16="-","нет",""))</f>
        <v>есть</v>
      </c>
      <c r="E653" s="317"/>
      <c r="F653" s="318">
        <f>IF(N('Термотрубка'!G16)&lt;=0,"по запросу",CHOOSE($K$3,IF(N('Термотрубка'!E16)&gt;0,N('Термотрубка'!E16),N('Термотрубка'!G16)),IF(N('Термотрубка'!F16)&gt;0,N('Термотрубка'!F16),N('Термотрубка'!G16)),N('Термотрубка'!G16)))</f>
        <v>177.8</v>
      </c>
      <c r="G653" s="319" t="str">
        <f>IF(I653&lt;=0,"",IF(ISNUMBER(F653),I653*F653,"по запросу"))</f>
        <v/>
      </c>
      <c r="H653" s="320">
        <f>N('Термотрубка'!I16)</f>
        <v>0</v>
      </c>
      <c r="I653" s="320">
        <f>IF(N(E653)&gt;0,N(E653),H653)</f>
        <v>0</v>
      </c>
      <c r="J653" s="320">
        <f>I653*IF(N('Термотрубка'!E16)&gt;0,N('Термотрубка'!E16),N('Термотрубка'!G16))</f>
        <v>0</v>
      </c>
      <c r="K653" s="320">
        <f>I653*IF(N('Термотрубка'!F16)&gt;0,N('Термотрубка'!F16),N('Термотрубка'!G16))</f>
        <v>0</v>
      </c>
      <c r="L653" s="320">
        <f>N(L652)+(N(I653)&gt;0)</f>
        <v>0</v>
      </c>
    </row>
    <row r="654">
      <c r="A654" s="321" t="inlineStr">
        <is>
          <t xml:space="preserve">Термотрубка</t>
        </is>
      </c>
      <c r="B654" s="314" t="str">
        <f>'Термотрубка'!A17&amp;""</f>
        <v>SA-4 Yellow</v>
      </c>
      <c r="C654" s="315" t="str">
        <f>'Термотрубка'!B17&amp;""</f>
        <v>Желтый. D до усадки (min)=4мм, D после усадки (max)= 2мм.  200м</v>
      </c>
      <c r="D654" s="316" t="str">
        <f>IF('Термотрубка'!H17="+","есть",IF('Термотрубка'!H17="-","нет",""))</f>
        <v>есть</v>
      </c>
      <c r="E654" s="317"/>
      <c r="F654" s="318">
        <f>IF(N('Термотрубка'!G17)&lt;=0,"по запросу",CHOOSE($K$3,IF(N('Термотрубка'!E17)&gt;0,N('Термотрубка'!E17),N('Термотрубка'!G17)),IF(N('Термотрубка'!F17)&gt;0,N('Термотрубка'!F17),N('Термотрубка'!G17)),N('Термотрубка'!G17)))</f>
        <v>3542.5</v>
      </c>
      <c r="G654" s="319" t="str">
        <f>IF(I654&lt;=0,"",IF(ISNUMBER(F654),I654*F654,"по запросу"))</f>
        <v/>
      </c>
      <c r="H654" s="320">
        <f>N('Термотрубка'!I17)</f>
        <v>0</v>
      </c>
      <c r="I654" s="320">
        <f>IF(N(E654)&gt;0,N(E654),H654)</f>
        <v>0</v>
      </c>
      <c r="J654" s="320">
        <f>I654*IF(N('Термотрубка'!E17)&gt;0,N('Термотрубка'!E17),N('Термотрубка'!G17))</f>
        <v>0</v>
      </c>
      <c r="K654" s="320">
        <f>I654*IF(N('Термотрубка'!F17)&gt;0,N('Термотрубка'!F17),N('Термотрубка'!G17))</f>
        <v>0</v>
      </c>
      <c r="L654" s="320">
        <f>N(L653)+(N(I654)&gt;0)</f>
        <v>0</v>
      </c>
    </row>
    <row r="655">
      <c r="A655" s="321" t="inlineStr">
        <is>
          <t xml:space="preserve">Термотрубка</t>
        </is>
      </c>
      <c r="B655" s="314" t="str">
        <f>'Термотрубка'!A18&amp;""</f>
        <v>SA-4 Yellow (10м)</v>
      </c>
      <c r="C655" s="315" t="str">
        <f>'Термотрубка'!B18&amp;""</f>
        <v>Желтый.  D до усадки (min)=4мм, D после усадки (max)= 2мм.  10м</v>
      </c>
      <c r="D655" s="316" t="str">
        <f>IF('Термотрубка'!H18="+","есть",IF('Термотрубка'!H18="-","нет",""))</f>
        <v>есть</v>
      </c>
      <c r="E655" s="317"/>
      <c r="F655" s="318">
        <f>IF(N('Термотрубка'!G18)&lt;=0,"по запросу",CHOOSE($K$3,IF(N('Термотрубка'!E18)&gt;0,N('Термотрубка'!E18),N('Термотрубка'!G18)),IF(N('Термотрубка'!F18)&gt;0,N('Термотрубка'!F18),N('Термотрубка'!G18)),N('Термотрубка'!G18)))</f>
        <v>195.1</v>
      </c>
      <c r="G655" s="319" t="str">
        <f>IF(I655&lt;=0,"",IF(ISNUMBER(F655),I655*F655,"по запросу"))</f>
        <v/>
      </c>
      <c r="H655" s="320">
        <f>N('Термотрубка'!I18)</f>
        <v>0</v>
      </c>
      <c r="I655" s="320">
        <f>IF(N(E655)&gt;0,N(E655),H655)</f>
        <v>0</v>
      </c>
      <c r="J655" s="320">
        <f>I655*IF(N('Термотрубка'!E18)&gt;0,N('Термотрубка'!E18),N('Термотрубка'!G18))</f>
        <v>0</v>
      </c>
      <c r="K655" s="320">
        <f>I655*IF(N('Термотрубка'!F18)&gt;0,N('Термотрубка'!F18),N('Термотрубка'!G18))</f>
        <v>0</v>
      </c>
      <c r="L655" s="320">
        <f>N(L654)+(N(I655)&gt;0)</f>
        <v>0</v>
      </c>
    </row>
    <row r="656">
      <c r="A656" s="321" t="inlineStr">
        <is>
          <t xml:space="preserve">Термотрубка</t>
        </is>
      </c>
      <c r="B656" s="314" t="str">
        <f>'Термотрубка'!A19&amp;""</f>
        <v>SA-4 Red</v>
      </c>
      <c r="C656" s="315" t="str">
        <f>'Термотрубка'!B19&amp;""</f>
        <v>Красный. D до усадки (min)=4мм, D после усадки (max)= 2мм.  200м</v>
      </c>
      <c r="D656" s="316" t="str">
        <f>IF('Термотрубка'!H19="+","есть",IF('Термотрубка'!H19="-","нет",""))</f>
        <v>есть</v>
      </c>
      <c r="E656" s="317"/>
      <c r="F656" s="318">
        <f>IF(N('Термотрубка'!G19)&lt;=0,"по запросу",CHOOSE($K$3,IF(N('Термотрубка'!E19)&gt;0,N('Термотрубка'!E19),N('Термотрубка'!G19)),IF(N('Термотрубка'!F19)&gt;0,N('Термотрубка'!F19),N('Термотрубка'!G19)),N('Термотрубка'!G19)))</f>
        <v>3542.5</v>
      </c>
      <c r="G656" s="319" t="str">
        <f>IF(I656&lt;=0,"",IF(ISNUMBER(F656),I656*F656,"по запросу"))</f>
        <v/>
      </c>
      <c r="H656" s="320">
        <f>N('Термотрубка'!I19)</f>
        <v>0</v>
      </c>
      <c r="I656" s="320">
        <f>IF(N(E656)&gt;0,N(E656),H656)</f>
        <v>0</v>
      </c>
      <c r="J656" s="320">
        <f>I656*IF(N('Термотрубка'!E19)&gt;0,N('Термотрубка'!E19),N('Термотрубка'!G19))</f>
        <v>0</v>
      </c>
      <c r="K656" s="320">
        <f>I656*IF(N('Термотрубка'!F19)&gt;0,N('Термотрубка'!F19),N('Термотрубка'!G19))</f>
        <v>0</v>
      </c>
      <c r="L656" s="320">
        <f>N(L655)+(N(I656)&gt;0)</f>
        <v>0</v>
      </c>
    </row>
    <row r="657">
      <c r="A657" s="321" t="inlineStr">
        <is>
          <t xml:space="preserve">Термотрубка</t>
        </is>
      </c>
      <c r="B657" s="314" t="str">
        <f>'Термотрубка'!A20&amp;""</f>
        <v>SA-4 Red (10м)</v>
      </c>
      <c r="C657" s="315" t="str">
        <f>'Термотрубка'!B20&amp;""</f>
        <v>Красный. D до усадки (min)=4мм, D после усадки (max)= 2мм.  10м</v>
      </c>
      <c r="D657" s="316" t="str">
        <f>IF('Термотрубка'!H20="+","есть",IF('Термотрубка'!H20="-","нет",""))</f>
        <v>есть</v>
      </c>
      <c r="E657" s="317"/>
      <c r="F657" s="318">
        <f>IF(N('Термотрубка'!G20)&lt;=0,"по запросу",CHOOSE($K$3,IF(N('Термотрубка'!E20)&gt;0,N('Термотрубка'!E20),N('Термотрубка'!G20)),IF(N('Термотрубка'!F20)&gt;0,N('Термотрубка'!F20),N('Термотрубка'!G20)),N('Термотрубка'!G20)))</f>
        <v>195.1</v>
      </c>
      <c r="G657" s="319" t="str">
        <f>IF(I657&lt;=0,"",IF(ISNUMBER(F657),I657*F657,"по запросу"))</f>
        <v/>
      </c>
      <c r="H657" s="320">
        <f>N('Термотрубка'!I20)</f>
        <v>0</v>
      </c>
      <c r="I657" s="320">
        <f>IF(N(E657)&gt;0,N(E657),H657)</f>
        <v>0</v>
      </c>
      <c r="J657" s="320">
        <f>I657*IF(N('Термотрубка'!E20)&gt;0,N('Термотрубка'!E20),N('Термотрубка'!G20))</f>
        <v>0</v>
      </c>
      <c r="K657" s="320">
        <f>I657*IF(N('Термотрубка'!F20)&gt;0,N('Термотрубка'!F20),N('Термотрубка'!G20))</f>
        <v>0</v>
      </c>
      <c r="L657" s="320">
        <f>N(L656)+(N(I657)&gt;0)</f>
        <v>0</v>
      </c>
    </row>
    <row r="658">
      <c r="A658" s="321" t="inlineStr">
        <is>
          <t xml:space="preserve">Термотрубка</t>
        </is>
      </c>
      <c r="B658" s="314" t="str">
        <f>'Термотрубка'!A21&amp;""</f>
        <v>SA-4 Clear</v>
      </c>
      <c r="C658" s="315" t="str">
        <f>'Термотрубка'!B21&amp;""</f>
        <v>Прозрачный. D до усадки (min)=4мм, D после усадки (max)= 2мм.  200м</v>
      </c>
      <c r="D658" s="316" t="str">
        <f>IF('Термотрубка'!H21="+","есть",IF('Термотрубка'!H21="-","нет",""))</f>
        <v>есть</v>
      </c>
      <c r="E658" s="317"/>
      <c r="F658" s="318">
        <f>IF(N('Термотрубка'!G21)&lt;=0,"по запросу",CHOOSE($K$3,IF(N('Термотрубка'!E21)&gt;0,N('Термотрубка'!E21),N('Термотрубка'!G21)),IF(N('Термотрубка'!F21)&gt;0,N('Термотрубка'!F21),N('Термотрубка'!G21)),N('Термотрубка'!G21)))</f>
        <v>2853.6</v>
      </c>
      <c r="G658" s="319" t="str">
        <f>IF(I658&lt;=0,"",IF(ISNUMBER(F658),I658*F658,"по запросу"))</f>
        <v/>
      </c>
      <c r="H658" s="320">
        <f>N('Термотрубка'!I21)</f>
        <v>0</v>
      </c>
      <c r="I658" s="320">
        <f>IF(N(E658)&gt;0,N(E658),H658)</f>
        <v>0</v>
      </c>
      <c r="J658" s="320">
        <f>I658*IF(N('Термотрубка'!E21)&gt;0,N('Термотрубка'!E21),N('Термотрубка'!G21))</f>
        <v>0</v>
      </c>
      <c r="K658" s="320">
        <f>I658*IF(N('Термотрубка'!F21)&gt;0,N('Термотрубка'!F21),N('Термотрубка'!G21))</f>
        <v>0</v>
      </c>
      <c r="L658" s="320">
        <f>N(L657)+(N(I658)&gt;0)</f>
        <v>0</v>
      </c>
    </row>
    <row r="659">
      <c r="A659" s="321" t="inlineStr">
        <is>
          <t xml:space="preserve">Термотрубка</t>
        </is>
      </c>
      <c r="B659" s="314" t="str">
        <f>'Термотрубка'!A22&amp;""</f>
        <v>SA-6</v>
      </c>
      <c r="C659" s="315" t="str">
        <f>'Термотрубка'!B22&amp;""</f>
        <v>Черный. D до усадки (min)=6мм, D после усадки (max)= 3мм.  100м</v>
      </c>
      <c r="D659" s="316" t="str">
        <f>IF('Термотрубка'!H22="+","есть",IF('Термотрубка'!H22="-","нет",""))</f>
        <v>есть</v>
      </c>
      <c r="E659" s="317"/>
      <c r="F659" s="318">
        <f>IF(N('Термотрубка'!G22)&lt;=0,"по запросу",CHOOSE($K$3,IF(N('Термотрубка'!E22)&gt;0,N('Термотрубка'!E22),N('Термотрубка'!G22)),IF(N('Термотрубка'!F22)&gt;0,N('Термотрубка'!F22),N('Термотрубка'!G22)),N('Термотрубка'!G22)))</f>
        <v>2415.7</v>
      </c>
      <c r="G659" s="319" t="str">
        <f>IF(I659&lt;=0,"",IF(ISNUMBER(F659),I659*F659,"по запросу"))</f>
        <v/>
      </c>
      <c r="H659" s="320">
        <f>N('Термотрубка'!I22)</f>
        <v>0</v>
      </c>
      <c r="I659" s="320">
        <f>IF(N(E659)&gt;0,N(E659),H659)</f>
        <v>0</v>
      </c>
      <c r="J659" s="320">
        <f>I659*IF(N('Термотрубка'!E22)&gt;0,N('Термотрубка'!E22),N('Термотрубка'!G22))</f>
        <v>0</v>
      </c>
      <c r="K659" s="320">
        <f>I659*IF(N('Термотрубка'!F22)&gt;0,N('Термотрубка'!F22),N('Термотрубка'!G22))</f>
        <v>0</v>
      </c>
      <c r="L659" s="320">
        <f>N(L658)+(N(I659)&gt;0)</f>
        <v>0</v>
      </c>
    </row>
    <row r="660">
      <c r="A660" s="321" t="inlineStr">
        <is>
          <t xml:space="preserve">Термотрубка</t>
        </is>
      </c>
      <c r="B660" s="314" t="str">
        <f>'Термотрубка'!A23&amp;""</f>
        <v>SA-6 (10м)</v>
      </c>
      <c r="C660" s="315" t="str">
        <f>'Термотрубка'!B23&amp;""</f>
        <v>Черный. D до усадки (min)=6мм, D после усадки (max)= 3мм.  10м</v>
      </c>
      <c r="D660" s="316" t="str">
        <f>IF('Термотрубка'!H23="+","есть",IF('Термотрубка'!H23="-","нет",""))</f>
        <v>есть</v>
      </c>
      <c r="E660" s="317"/>
      <c r="F660" s="318">
        <f>IF(N('Термотрубка'!G23)&lt;=0,"по запросу",CHOOSE($K$3,IF(N('Термотрубка'!E23)&gt;0,N('Термотрубка'!E23),N('Термотрубка'!G23)),IF(N('Термотрубка'!F23)&gt;0,N('Термотрубка'!F23),N('Термотрубка'!G23)),N('Термотрубка'!G23)))</f>
        <v>265.7</v>
      </c>
      <c r="G660" s="319" t="str">
        <f>IF(I660&lt;=0,"",IF(ISNUMBER(F660),I660*F660,"по запросу"))</f>
        <v/>
      </c>
      <c r="H660" s="320">
        <f>N('Термотрубка'!I23)</f>
        <v>0</v>
      </c>
      <c r="I660" s="320">
        <f>IF(N(E660)&gt;0,N(E660),H660)</f>
        <v>0</v>
      </c>
      <c r="J660" s="320">
        <f>I660*IF(N('Термотрубка'!E23)&gt;0,N('Термотрубка'!E23),N('Термотрубка'!G23))</f>
        <v>0</v>
      </c>
      <c r="K660" s="320">
        <f>I660*IF(N('Термотрубка'!F23)&gt;0,N('Термотрубка'!F23),N('Термотрубка'!G23))</f>
        <v>0</v>
      </c>
      <c r="L660" s="320">
        <f>N(L659)+(N(I660)&gt;0)</f>
        <v>0</v>
      </c>
    </row>
    <row r="661">
      <c r="A661" s="321" t="inlineStr">
        <is>
          <t xml:space="preserve">Термотрубка</t>
        </is>
      </c>
      <c r="B661" s="314" t="str">
        <f>'Термотрубка'!A24&amp;""</f>
        <v>SA-8</v>
      </c>
      <c r="C661" s="315" t="str">
        <f>'Термотрубка'!B24&amp;""</f>
        <v>Черный. D до усадки (min)=8мм, D после усадки (max)= 4мм.  100м</v>
      </c>
      <c r="D661" s="316" t="str">
        <f>IF('Термотрубка'!H24="+","есть",IF('Термотрубка'!H24="-","нет",""))</f>
        <v>есть</v>
      </c>
      <c r="E661" s="317"/>
      <c r="F661" s="318">
        <f>IF(N('Термотрубка'!G24)&lt;=0,"по запросу",CHOOSE($K$3,IF(N('Термотрубка'!E24)&gt;0,N('Термотрубка'!E24),N('Термотрубка'!G24)),IF(N('Термотрубка'!F24)&gt;0,N('Термотрубка'!F24),N('Термотрубка'!G24)),N('Термотрубка'!G24)))</f>
        <v>3220.1</v>
      </c>
      <c r="G661" s="319" t="str">
        <f>IF(I661&lt;=0,"",IF(ISNUMBER(F661),I661*F661,"по запросу"))</f>
        <v/>
      </c>
      <c r="H661" s="320">
        <f>N('Термотрубка'!I24)</f>
        <v>0</v>
      </c>
      <c r="I661" s="320">
        <f>IF(N(E661)&gt;0,N(E661),H661)</f>
        <v>0</v>
      </c>
      <c r="J661" s="320">
        <f>I661*IF(N('Термотрубка'!E24)&gt;0,N('Термотрубка'!E24),N('Термотрубка'!G24))</f>
        <v>0</v>
      </c>
      <c r="K661" s="320">
        <f>I661*IF(N('Термотрубка'!F24)&gt;0,N('Термотрубка'!F24),N('Термотрубка'!G24))</f>
        <v>0</v>
      </c>
      <c r="L661" s="320">
        <f>N(L660)+(N(I661)&gt;0)</f>
        <v>0</v>
      </c>
    </row>
    <row r="662">
      <c r="A662" s="321" t="inlineStr">
        <is>
          <t xml:space="preserve">Термотрубка</t>
        </is>
      </c>
      <c r="B662" s="314" t="str">
        <f>'Термотрубка'!A25&amp;""</f>
        <v>SA-8 (10м)</v>
      </c>
      <c r="C662" s="315" t="str">
        <f>'Термотрубка'!B25&amp;""</f>
        <v>Черный. D до усадки (min)=8мм, D после усадки (max)= 4мм.  10м</v>
      </c>
      <c r="D662" s="316" t="str">
        <f>IF('Термотрубка'!H25="+","есть",IF('Термотрубка'!H25="-","нет",""))</f>
        <v>есть</v>
      </c>
      <c r="E662" s="317"/>
      <c r="F662" s="318">
        <f>IF(N('Термотрубка'!G25)&lt;=0,"по запросу",CHOOSE($K$3,IF(N('Термотрубка'!E25)&gt;0,N('Термотрубка'!E25),N('Термотрубка'!G25)),IF(N('Термотрубка'!F25)&gt;0,N('Термотрубка'!F25),N('Термотрубка'!G25)),N('Термотрубка'!G25)))</f>
        <v>353.6</v>
      </c>
      <c r="G662" s="319" t="str">
        <f>IF(I662&lt;=0,"",IF(ISNUMBER(F662),I662*F662,"по запросу"))</f>
        <v/>
      </c>
      <c r="H662" s="320">
        <f>N('Термотрубка'!I25)</f>
        <v>0</v>
      </c>
      <c r="I662" s="320">
        <f>IF(N(E662)&gt;0,N(E662),H662)</f>
        <v>0</v>
      </c>
      <c r="J662" s="320">
        <f>I662*IF(N('Термотрубка'!E25)&gt;0,N('Термотрубка'!E25),N('Термотрубка'!G25))</f>
        <v>0</v>
      </c>
      <c r="K662" s="320">
        <f>I662*IF(N('Термотрубка'!F25)&gt;0,N('Термотрубка'!F25),N('Термотрубка'!G25))</f>
        <v>0</v>
      </c>
      <c r="L662" s="320">
        <f>N(L661)+(N(I662)&gt;0)</f>
        <v>0</v>
      </c>
    </row>
    <row r="663">
      <c r="A663" s="321" t="inlineStr">
        <is>
          <t xml:space="preserve">Термотрубка</t>
        </is>
      </c>
      <c r="B663" s="314" t="str">
        <f>'Термотрубка'!A26&amp;""</f>
        <v>SA-10</v>
      </c>
      <c r="C663" s="315" t="str">
        <f>'Термотрубка'!B26&amp;""</f>
        <v>Черный. D до усадки (min)=10мм, D после усадки (max)= 5мм.  100м</v>
      </c>
      <c r="D663" s="316" t="str">
        <f>IF('Термотрубка'!H26="+","есть",IF('Термотрубка'!H26="-","нет",""))</f>
        <v>есть</v>
      </c>
      <c r="E663" s="317"/>
      <c r="F663" s="318">
        <f>IF(N('Термотрубка'!G26)&lt;=0,"по запросу",CHOOSE($K$3,IF(N('Термотрубка'!E26)&gt;0,N('Термотрубка'!E26),N('Термотрубка'!G26)),IF(N('Термотрубка'!F26)&gt;0,N('Термотрубка'!F26),N('Термотрубка'!G26)),N('Термотрубка'!G26)))</f>
        <v>4025.4</v>
      </c>
      <c r="G663" s="319" t="str">
        <f>IF(I663&lt;=0,"",IF(ISNUMBER(F663),I663*F663,"по запросу"))</f>
        <v/>
      </c>
      <c r="H663" s="320">
        <f>N('Термотрубка'!I26)</f>
        <v>0</v>
      </c>
      <c r="I663" s="320">
        <f>IF(N(E663)&gt;0,N(E663),H663)</f>
        <v>0</v>
      </c>
      <c r="J663" s="320">
        <f>I663*IF(N('Термотрубка'!E26)&gt;0,N('Термотрубка'!E26),N('Термотрубка'!G26))</f>
        <v>0</v>
      </c>
      <c r="K663" s="320">
        <f>I663*IF(N('Термотрубка'!F26)&gt;0,N('Термотрубка'!F26),N('Термотрубка'!G26))</f>
        <v>0</v>
      </c>
      <c r="L663" s="320">
        <f>N(L662)+(N(I663)&gt;0)</f>
        <v>0</v>
      </c>
    </row>
    <row r="664">
      <c r="A664" s="321" t="inlineStr">
        <is>
          <t xml:space="preserve">Термотрубка</t>
        </is>
      </c>
      <c r="B664" s="314" t="str">
        <f>'Термотрубка'!A27&amp;""</f>
        <v>SA-10 (10м)</v>
      </c>
      <c r="C664" s="315" t="str">
        <f>'Термотрубка'!B27&amp;""</f>
        <v>Черный. D до усадки (min)=10мм, D после усадки (max)= 5мм.  10м</v>
      </c>
      <c r="D664" s="316" t="str">
        <f>IF('Термотрубка'!H27="+","есть",IF('Термотрубка'!H27="-","нет",""))</f>
        <v>есть</v>
      </c>
      <c r="E664" s="317"/>
      <c r="F664" s="318">
        <f>IF(N('Термотрубка'!G27)&lt;=0,"по запросу",CHOOSE($K$3,IF(N('Термотрубка'!E27)&gt;0,N('Термотрубка'!E27),N('Термотрубка'!G27)),IF(N('Термотрубка'!F27)&gt;0,N('Термотрубка'!F27),N('Термотрубка'!G27)),N('Термотрубка'!G27)))</f>
        <v>442.5</v>
      </c>
      <c r="G664" s="319" t="str">
        <f>IF(I664&lt;=0,"",IF(ISNUMBER(F664),I664*F664,"по запросу"))</f>
        <v/>
      </c>
      <c r="H664" s="320">
        <f>N('Термотрубка'!I27)</f>
        <v>0</v>
      </c>
      <c r="I664" s="320">
        <f>IF(N(E664)&gt;0,N(E664),H664)</f>
        <v>0</v>
      </c>
      <c r="J664" s="320">
        <f>I664*IF(N('Термотрубка'!E27)&gt;0,N('Термотрубка'!E27),N('Термотрубка'!G27))</f>
        <v>0</v>
      </c>
      <c r="K664" s="320">
        <f>I664*IF(N('Термотрубка'!F27)&gt;0,N('Термотрубка'!F27),N('Термотрубка'!G27))</f>
        <v>0</v>
      </c>
      <c r="L664" s="320">
        <f>N(L663)+(N(I664)&gt;0)</f>
        <v>0</v>
      </c>
    </row>
    <row r="665">
      <c r="A665" s="321" t="inlineStr">
        <is>
          <t xml:space="preserve">Термотрубка</t>
        </is>
      </c>
      <c r="B665" s="314" t="str">
        <f>'Термотрубка'!A28&amp;""</f>
        <v>SA-14 White (100м)</v>
      </c>
      <c r="C665" s="315" t="str">
        <f>'Термотрубка'!B28&amp;""</f>
        <v>Белый. D до усадки (min)=14мм, D после усадки (max)= 7мм.  100м</v>
      </c>
      <c r="D665" s="316" t="str">
        <f>IF('Термотрубка'!H28="+","есть",IF('Термотрубка'!H28="-","нет",""))</f>
        <v>есть</v>
      </c>
      <c r="E665" s="317"/>
      <c r="F665" s="318">
        <f>IF(N('Термотрубка'!G28)&lt;=0,"по запросу",CHOOSE($K$3,IF(N('Термотрубка'!E28)&gt;0,N('Термотрубка'!E28),N('Термотрубка'!G28)),IF(N('Термотрубка'!F28)&gt;0,N('Термотрубка'!F28),N('Термотрубка'!G28)),N('Термотрубка'!G28)))</f>
        <v>3412.9</v>
      </c>
      <c r="G665" s="319" t="str">
        <f>IF(I665&lt;=0,"",IF(ISNUMBER(F665),I665*F665,"по запросу"))</f>
        <v/>
      </c>
      <c r="H665" s="320">
        <f>N('Термотрубка'!I28)</f>
        <v>0</v>
      </c>
      <c r="I665" s="320">
        <f>IF(N(E665)&gt;0,N(E665),H665)</f>
        <v>0</v>
      </c>
      <c r="J665" s="320">
        <f>I665*IF(N('Термотрубка'!E28)&gt;0,N('Термотрубка'!E28),N('Термотрубка'!G28))</f>
        <v>0</v>
      </c>
      <c r="K665" s="320">
        <f>I665*IF(N('Термотрубка'!F28)&gt;0,N('Термотрубка'!F28),N('Термотрубка'!G28))</f>
        <v>0</v>
      </c>
      <c r="L665" s="320">
        <f>N(L664)+(N(I665)&gt;0)</f>
        <v>0</v>
      </c>
    </row>
    <row r="666">
      <c r="A666" s="321" t="inlineStr">
        <is>
          <t xml:space="preserve">Термотрубка</t>
        </is>
      </c>
      <c r="B666" s="314" t="str">
        <f>'Термотрубка'!A29&amp;""</f>
        <v>SA-14NF White (100м)</v>
      </c>
      <c r="C666" s="315" t="str">
        <f>'Термотрубка'!B29&amp;""</f>
        <v>Белый.Негорючее исполнение D до усадки (min)=14мм, D после усадки (max)= 7мм.  100м</v>
      </c>
      <c r="D666" s="316" t="str">
        <f>IF('Термотрубка'!H29="+","есть",IF('Термотрубка'!H29="-","нет",""))</f>
        <v>есть</v>
      </c>
      <c r="E666" s="317"/>
      <c r="F666" s="318">
        <f>IF(N('Термотрубка'!G29)&lt;=0,"по запросу",CHOOSE($K$3,IF(N('Термотрубка'!E29)&gt;0,N('Термотрубка'!E29),N('Термотрубка'!G29)),IF(N('Термотрубка'!F29)&gt;0,N('Термотрубка'!F29),N('Термотрубка'!G29)),N('Термотрубка'!G29)))</f>
        <v>4095.3</v>
      </c>
      <c r="G666" s="319" t="str">
        <f>IF(I666&lt;=0,"",IF(ISNUMBER(F666),I666*F666,"по запросу"))</f>
        <v/>
      </c>
      <c r="H666" s="320">
        <f>N('Термотрубка'!I29)</f>
        <v>0</v>
      </c>
      <c r="I666" s="320">
        <f>IF(N(E666)&gt;0,N(E666),H666)</f>
        <v>0</v>
      </c>
      <c r="J666" s="320">
        <f>I666*IF(N('Термотрубка'!E29)&gt;0,N('Термотрубка'!E29),N('Термотрубка'!G29))</f>
        <v>0</v>
      </c>
      <c r="K666" s="320">
        <f>I666*IF(N('Термотрубка'!F29)&gt;0,N('Термотрубка'!F29),N('Термотрубка'!G29))</f>
        <v>0</v>
      </c>
      <c r="L666" s="320">
        <f>N(L665)+(N(I666)&gt;0)</f>
        <v>0</v>
      </c>
    </row>
    <row r="667">
      <c r="A667" s="321" t="inlineStr">
        <is>
          <t xml:space="preserve">Термотрубка</t>
        </is>
      </c>
      <c r="B667" s="314" t="str">
        <f>'Термотрубка'!A30&amp;""</f>
        <v>SA-20</v>
      </c>
      <c r="C667" s="315" t="str">
        <f>'Термотрубка'!B30&amp;""</f>
        <v>Черный. D до усадки (min)=20мм, D после усадки (max)= 10мм.  100м</v>
      </c>
      <c r="D667" s="316" t="str">
        <f>IF('Термотрубка'!H30="+","есть",IF('Термотрубка'!H30="-","нет",""))</f>
        <v>есть</v>
      </c>
      <c r="E667" s="317"/>
      <c r="F667" s="318">
        <f>IF(N('Термотрубка'!G30)&lt;=0,"по запросу",CHOOSE($K$3,IF(N('Термотрубка'!E30)&gt;0,N('Термотрубка'!E30),N('Термотрубка'!G30)),IF(N('Термотрубка'!F30)&gt;0,N('Термотрубка'!F30),N('Термотрубка'!G30)),N('Термотрубка'!G30)))</f>
        <v>8050.6</v>
      </c>
      <c r="G667" s="319" t="str">
        <f>IF(I667&lt;=0,"",IF(ISNUMBER(F667),I667*F667,"по запросу"))</f>
        <v/>
      </c>
      <c r="H667" s="320">
        <f>N('Термотрубка'!I30)</f>
        <v>0</v>
      </c>
      <c r="I667" s="320">
        <f>IF(N(E667)&gt;0,N(E667),H667)</f>
        <v>0</v>
      </c>
      <c r="J667" s="320">
        <f>I667*IF(N('Термотрубка'!E30)&gt;0,N('Термотрубка'!E30),N('Термотрубка'!G30))</f>
        <v>0</v>
      </c>
      <c r="K667" s="320">
        <f>I667*IF(N('Термотрубка'!F30)&gt;0,N('Термотрубка'!F30),N('Термотрубка'!G30))</f>
        <v>0</v>
      </c>
      <c r="L667" s="320">
        <f>N(L666)+(N(I667)&gt;0)</f>
        <v>0</v>
      </c>
    </row>
    <row r="668">
      <c r="A668" s="321" t="inlineStr">
        <is>
          <t xml:space="preserve">Термотрубка</t>
        </is>
      </c>
      <c r="B668" s="314" t="str">
        <f>'Термотрубка'!A31&amp;""</f>
        <v>SA-20 (10м)</v>
      </c>
      <c r="C668" s="315" t="str">
        <f>'Термотрубка'!B31&amp;""</f>
        <v>Черный. D до усадки (min)=20мм, D после усадки (max)= 10мм.  10м</v>
      </c>
      <c r="D668" s="316" t="str">
        <f>IF('Термотрубка'!H31="+","есть",IF('Термотрубка'!H31="-","нет",""))</f>
        <v>есть</v>
      </c>
      <c r="E668" s="317"/>
      <c r="F668" s="318">
        <f>IF(N('Термотрубка'!G31)&lt;=0,"по запросу",CHOOSE($K$3,IF(N('Термотрубка'!E31)&gt;0,N('Термотрубка'!E31),N('Термотрубка'!G31)),IF(N('Термотрубка'!F31)&gt;0,N('Термотрубка'!F31),N('Термотрубка'!G31)),N('Термотрубка'!G31)))</f>
        <v>885.8</v>
      </c>
      <c r="G668" s="319" t="str">
        <f>IF(I668&lt;=0,"",IF(ISNUMBER(F668),I668*F668,"по запросу"))</f>
        <v/>
      </c>
      <c r="H668" s="320">
        <f>N('Термотрубка'!I31)</f>
        <v>0</v>
      </c>
      <c r="I668" s="320">
        <f>IF(N(E668)&gt;0,N(E668),H668)</f>
        <v>0</v>
      </c>
      <c r="J668" s="320">
        <f>I668*IF(N('Термотрубка'!E31)&gt;0,N('Термотрубка'!E31),N('Термотрубка'!G31))</f>
        <v>0</v>
      </c>
      <c r="K668" s="320">
        <f>I668*IF(N('Термотрубка'!F31)&gt;0,N('Термотрубка'!F31),N('Термотрубка'!G31))</f>
        <v>0</v>
      </c>
      <c r="L668" s="320">
        <f>N(L667)+(N(I668)&gt;0)</f>
        <v>0</v>
      </c>
    </row>
    <row r="669">
      <c r="A669" s="321" t="inlineStr">
        <is>
          <t xml:space="preserve">Термотрубка</t>
        </is>
      </c>
      <c r="B669" s="314" t="str">
        <f>'Термотрубка'!A32&amp;""</f>
        <v>SA-20 Red</v>
      </c>
      <c r="C669" s="315" t="str">
        <f>'Термотрубка'!B32&amp;""</f>
        <v>Красный. D до усадки (min)=20мм, D после усадки (max)= 10мм.  100м</v>
      </c>
      <c r="D669" s="316" t="str">
        <f>IF('Термотрубка'!H32="+","есть",IF('Термотрубка'!H32="-","нет",""))</f>
        <v>есть</v>
      </c>
      <c r="E669" s="317"/>
      <c r="F669" s="318">
        <f>IF(N('Термотрубка'!G32)&lt;=0,"по запросу",CHOOSE($K$3,IF(N('Термотрубка'!E32)&gt;0,N('Термотрубка'!E32),N('Термотрубка'!G32)),IF(N('Термотрубка'!F32)&gt;0,N('Термотрубка'!F32),N('Термотрубка'!G32)),N('Термотрубка'!G32)))</f>
        <v>8855.8</v>
      </c>
      <c r="G669" s="319" t="str">
        <f>IF(I669&lt;=0,"",IF(ISNUMBER(F669),I669*F669,"по запросу"))</f>
        <v/>
      </c>
      <c r="H669" s="320">
        <f>N('Термотрубка'!I32)</f>
        <v>0</v>
      </c>
      <c r="I669" s="320">
        <f>IF(N(E669)&gt;0,N(E669),H669)</f>
        <v>0</v>
      </c>
      <c r="J669" s="320">
        <f>I669*IF(N('Термотрубка'!E32)&gt;0,N('Термотрубка'!E32),N('Термотрубка'!G32))</f>
        <v>0</v>
      </c>
      <c r="K669" s="320">
        <f>I669*IF(N('Термотрубка'!F32)&gt;0,N('Термотрубка'!F32),N('Термотрубка'!G32))</f>
        <v>0</v>
      </c>
      <c r="L669" s="320">
        <f>N(L668)+(N(I669)&gt;0)</f>
        <v>0</v>
      </c>
    </row>
    <row r="670">
      <c r="A670" s="321" t="inlineStr">
        <is>
          <t xml:space="preserve">Термотрубка</t>
        </is>
      </c>
      <c r="B670" s="314" t="str">
        <f>'Термотрубка'!A33&amp;""</f>
        <v>SA-20 Red (10м)</v>
      </c>
      <c r="C670" s="315" t="str">
        <f>'Термотрубка'!B33&amp;""</f>
        <v>Красный. D до усадки (min)=20мм, D после усадки (max)= 10мм.  10м</v>
      </c>
      <c r="D670" s="316" t="str">
        <f>IF('Термотрубка'!H33="+","есть",IF('Термотрубка'!H33="-","нет",""))</f>
        <v>есть</v>
      </c>
      <c r="E670" s="317"/>
      <c r="F670" s="318">
        <f>IF(N('Термотрубка'!G33)&lt;=0,"по запросу",CHOOSE($K$3,IF(N('Термотрубка'!E33)&gt;0,N('Термотрубка'!E33),N('Термотрубка'!G33)),IF(N('Термотрубка'!F33)&gt;0,N('Термотрубка'!F33),N('Термотрубка'!G33)),N('Термотрубка'!G33)))</f>
        <v>974.8</v>
      </c>
      <c r="G670" s="319" t="str">
        <f>IF(I670&lt;=0,"",IF(ISNUMBER(F670),I670*F670,"по запросу"))</f>
        <v/>
      </c>
      <c r="H670" s="320">
        <f>N('Термотрубка'!I33)</f>
        <v>0</v>
      </c>
      <c r="I670" s="320">
        <f>IF(N(E670)&gt;0,N(E670),H670)</f>
        <v>0</v>
      </c>
      <c r="J670" s="320">
        <f>I670*IF(N('Термотрубка'!E33)&gt;0,N('Термотрубка'!E33),N('Термотрубка'!G33))</f>
        <v>0</v>
      </c>
      <c r="K670" s="320">
        <f>I670*IF(N('Термотрубка'!F33)&gt;0,N('Термотрубка'!F33),N('Термотрубка'!G33))</f>
        <v>0</v>
      </c>
      <c r="L670" s="320">
        <f>N(L669)+(N(I670)&gt;0)</f>
        <v>0</v>
      </c>
    </row>
    <row r="671">
      <c r="A671" s="321" t="inlineStr">
        <is>
          <t xml:space="preserve">Термотрубка</t>
        </is>
      </c>
      <c r="B671" s="314" t="str">
        <f>'Термотрубка'!A34&amp;""</f>
        <v>SA-30</v>
      </c>
      <c r="C671" s="315" t="str">
        <f>'Термотрубка'!B34&amp;""</f>
        <v>Черный. D до усадки (min)=30мм, D после усадки (max)= 15мм.  50м</v>
      </c>
      <c r="D671" s="316" t="str">
        <f>IF('Термотрубка'!H34="+","есть",IF('Термотрубка'!H34="-","нет",""))</f>
        <v>есть</v>
      </c>
      <c r="E671" s="317"/>
      <c r="F671" s="318">
        <f>IF(N('Термотрубка'!G34)&lt;=0,"по запросу",CHOOSE($K$3,IF(N('Термотрубка'!E34)&gt;0,N('Термотрубка'!E34),N('Термотрубка'!G34)),IF(N('Термотрубка'!F34)&gt;0,N('Термотрубка'!F34),N('Термотрубка'!G34)),N('Термотрубка'!G34)))</f>
        <v>6038</v>
      </c>
      <c r="G671" s="319" t="str">
        <f>IF(I671&lt;=0,"",IF(ISNUMBER(F671),I671*F671,"по запросу"))</f>
        <v/>
      </c>
      <c r="H671" s="320">
        <f>N('Термотрубка'!I34)</f>
        <v>0</v>
      </c>
      <c r="I671" s="320">
        <f>IF(N(E671)&gt;0,N(E671),H671)</f>
        <v>0</v>
      </c>
      <c r="J671" s="320">
        <f>I671*IF(N('Термотрубка'!E34)&gt;0,N('Термотрубка'!E34),N('Термотрубка'!G34))</f>
        <v>0</v>
      </c>
      <c r="K671" s="320">
        <f>I671*IF(N('Термотрубка'!F34)&gt;0,N('Термотрубка'!F34),N('Термотрубка'!G34))</f>
        <v>0</v>
      </c>
      <c r="L671" s="320">
        <f>N(L670)+(N(I671)&gt;0)</f>
        <v>0</v>
      </c>
    </row>
    <row r="672">
      <c r="A672" s="321" t="inlineStr">
        <is>
          <t xml:space="preserve">Термотрубка</t>
        </is>
      </c>
      <c r="B672" s="314" t="str">
        <f>'Термотрубка'!A35&amp;""</f>
        <v>SA-30 (10м)</v>
      </c>
      <c r="C672" s="315" t="str">
        <f>'Термотрубка'!B35&amp;""</f>
        <v>Черный. D до усадки (min)=30мм, D после усадки (max)= 15мм.  10м</v>
      </c>
      <c r="D672" s="316" t="str">
        <f>IF('Термотрубка'!H35="+","есть",IF('Термотрубка'!H35="-","нет",""))</f>
        <v>есть</v>
      </c>
      <c r="E672" s="317"/>
      <c r="F672" s="318">
        <f>IF(N('Термотрубка'!G35)&lt;=0,"по запросу",CHOOSE($K$3,IF(N('Термотрубка'!E35)&gt;0,N('Термотрубка'!E35),N('Термотрубка'!G35)),IF(N('Термотрубка'!F35)&gt;0,N('Термотрубка'!F35),N('Термотрубка'!G35)),N('Термотрубка'!G35)))</f>
        <v>1328.4</v>
      </c>
      <c r="G672" s="319" t="str">
        <f>IF(I672&lt;=0,"",IF(ISNUMBER(F672),I672*F672,"по запросу"))</f>
        <v/>
      </c>
      <c r="H672" s="320">
        <f>N('Термотрубка'!I35)</f>
        <v>0</v>
      </c>
      <c r="I672" s="320">
        <f>IF(N(E672)&gt;0,N(E672),H672)</f>
        <v>0</v>
      </c>
      <c r="J672" s="320">
        <f>I672*IF(N('Термотрубка'!E35)&gt;0,N('Термотрубка'!E35),N('Термотрубка'!G35))</f>
        <v>0</v>
      </c>
      <c r="K672" s="320">
        <f>I672*IF(N('Термотрубка'!F35)&gt;0,N('Термотрубка'!F35),N('Термотрубка'!G35))</f>
        <v>0</v>
      </c>
      <c r="L672" s="320">
        <f>N(L671)+(N(I672)&gt;0)</f>
        <v>0</v>
      </c>
    </row>
    <row r="673">
      <c r="A673" s="321" t="inlineStr">
        <is>
          <t xml:space="preserve">Термотрубка</t>
        </is>
      </c>
      <c r="B673" s="314" t="str">
        <f>'Термотрубка'!A36&amp;""</f>
        <v>SA-100 (20м)</v>
      </c>
      <c r="C673" s="315" t="str">
        <f>'Термотрубка'!B36&amp;""</f>
        <v>Черный. D до усадки (min)=100мм, D после усадки (max)= 50мм.  20м</v>
      </c>
      <c r="D673" s="316" t="str">
        <f>IF('Термотрубка'!H36="+","есть",IF('Термотрубка'!H36="-","нет",""))</f>
        <v>есть</v>
      </c>
      <c r="E673" s="317"/>
      <c r="F673" s="318">
        <f>IF(N('Термотрубка'!G36)&lt;=0,"по запросу",CHOOSE($K$3,IF(N('Термотрубка'!E36)&gt;0,N('Термотрубка'!E36),N('Термотрубка'!G36)),IF(N('Термотрубка'!F36)&gt;0,N('Термотрубка'!F36),N('Термотрубка'!G36)),N('Термотрубка'!G36)))</f>
        <v>10180.3</v>
      </c>
      <c r="G673" s="319" t="str">
        <f>IF(I673&lt;=0,"",IF(ISNUMBER(F673),I673*F673,"по запросу"))</f>
        <v/>
      </c>
      <c r="H673" s="320">
        <f>N('Термотрубка'!I36)</f>
        <v>0</v>
      </c>
      <c r="I673" s="320">
        <f>IF(N(E673)&gt;0,N(E673),H673)</f>
        <v>0</v>
      </c>
      <c r="J673" s="320">
        <f>I673*IF(N('Термотрубка'!E36)&gt;0,N('Термотрубка'!E36),N('Термотрубка'!G36))</f>
        <v>0</v>
      </c>
      <c r="K673" s="320">
        <f>I673*IF(N('Термотрубка'!F36)&gt;0,N('Термотрубка'!F36),N('Термотрубка'!G36))</f>
        <v>0</v>
      </c>
      <c r="L673" s="320">
        <f>N(L672)+(N(I673)&gt;0)</f>
        <v>0</v>
      </c>
    </row>
    <row r="674">
      <c r="A674" s="321" t="inlineStr">
        <is>
          <t xml:space="preserve">Термотрубка</t>
        </is>
      </c>
      <c r="B674" s="314" t="str">
        <f>'Термотрубка'!A37&amp;""</f>
        <v>SA-150 (25м)</v>
      </c>
      <c r="C674" s="315" t="str">
        <f>'Термотрубка'!B37&amp;""</f>
        <v>Черный. D до усадки (min)=150мм, D после усадки (max)= 75мм.  25м</v>
      </c>
      <c r="D674" s="316" t="str">
        <f>IF('Термотрубка'!H37="+","есть",IF('Термотрубка'!H37="-","нет",""))</f>
        <v>есть</v>
      </c>
      <c r="E674" s="317"/>
      <c r="F674" s="318">
        <f>IF(N('Термотрубка'!G37)&lt;=0,"по запросу",CHOOSE($K$3,IF(N('Термотрубка'!E37)&gt;0,N('Термотрубка'!E37),N('Термотрубка'!G37)),IF(N('Термотрубка'!F37)&gt;0,N('Термотрубка'!F37),N('Термотрубка'!G37)),N('Термотрубка'!G37)))</f>
        <v>16208.8</v>
      </c>
      <c r="G674" s="319" t="str">
        <f>IF(I674&lt;=0,"",IF(ISNUMBER(F674),I674*F674,"по запросу"))</f>
        <v/>
      </c>
      <c r="H674" s="320">
        <f>N('Термотрубка'!I37)</f>
        <v>0</v>
      </c>
      <c r="I674" s="320">
        <f>IF(N(E674)&gt;0,N(E674),H674)</f>
        <v>0</v>
      </c>
      <c r="J674" s="320">
        <f>I674*IF(N('Термотрубка'!E37)&gt;0,N('Термотрубка'!E37),N('Термотрубка'!G37))</f>
        <v>0</v>
      </c>
      <c r="K674" s="320">
        <f>I674*IF(N('Термотрубка'!F37)&gt;0,N('Термотрубка'!F37),N('Термотрубка'!G37))</f>
        <v>0</v>
      </c>
      <c r="L674" s="320">
        <f>N(L673)+(N(I674)&gt;0)</f>
        <v>0</v>
      </c>
    </row>
    <row r="675">
      <c r="A675" s="321" t="inlineStr">
        <is>
          <t xml:space="preserve">Термотрубка</t>
        </is>
      </c>
      <c r="B675" s="314" t="str">
        <f>'Термотрубка'!A38&amp;""</f>
        <v>SA-KIT 1-9/10-Color</v>
      </c>
      <c r="C675" s="315" t="str">
        <f>'Термотрубка'!B38&amp;""</f>
        <v>Набор термоусадочных трубок 1мм-9мм(нарезка 10см), 170шт:Ø1x100mm x 60шт;Ø2x100mm x 40шт;Ø3x100mm x 30шт;Ø4.5x100mm x 20шт;Ø6x100mm x 10шт;Ø9 x100mm x 10шт; цвета: черный, красный, синий, прозр., белый, желтый</v>
      </c>
      <c r="D675" s="316" t="str">
        <f>IF('Термотрубка'!H38="+","есть",IF('Термотрубка'!H38="-","нет",""))</f>
        <v>есть</v>
      </c>
      <c r="E675" s="317"/>
      <c r="F675" s="318">
        <f>IF(N('Термотрубка'!G38)&lt;=0,"по запросу",CHOOSE($K$3,IF(N('Термотрубка'!E38)&gt;0,N('Термотрубка'!E38),N('Термотрубка'!G38)),IF(N('Термотрубка'!F38)&gt;0,N('Термотрубка'!F38),N('Термотрубка'!G38)),N('Термотрубка'!G38)))</f>
        <v>450.5</v>
      </c>
      <c r="G675" s="319" t="str">
        <f>IF(I675&lt;=0,"",IF(ISNUMBER(F675),I675*F675,"по запросу"))</f>
        <v/>
      </c>
      <c r="H675" s="320">
        <f>N('Термотрубка'!I38)</f>
        <v>0</v>
      </c>
      <c r="I675" s="320">
        <f>IF(N(E675)&gt;0,N(E675),H675)</f>
        <v>0</v>
      </c>
      <c r="J675" s="320">
        <f>I675*IF(N('Термотрубка'!E38)&gt;0,N('Термотрубка'!E38),N('Термотрубка'!G38))</f>
        <v>0</v>
      </c>
      <c r="K675" s="320">
        <f>I675*IF(N('Термотрубка'!F38)&gt;0,N('Термотрубка'!F38),N('Термотрубка'!G38))</f>
        <v>0</v>
      </c>
      <c r="L675" s="320">
        <f>N(L674)+(N(I675)&gt;0)</f>
        <v>0</v>
      </c>
    </row>
    <row r="676">
      <c r="A676" s="321" t="inlineStr">
        <is>
          <t xml:space="preserve">Термотрубка</t>
        </is>
      </c>
      <c r="B676" s="314" t="str">
        <f>'Термотрубка'!A39&amp;""</f>
        <v>SA-KIT 1-9/10</v>
      </c>
      <c r="C676" s="315" t="str">
        <f>'Термотрубка'!B39&amp;""</f>
        <v>Набор термоусадочных трубок 1мм-9мм(нарезка 10см), 170шт:Ø1x100mm x 60шт;Ø2x100mm x 40шт;Ø3x100mm x 30шт;Ø4.5x100mm x 20шт;Ø6x100mm x 10шт;Ø9 x100mm x 10шт; цвет: черный</v>
      </c>
      <c r="D676" s="316" t="str">
        <f>IF('Термотрубка'!H39="+","есть",IF('Термотрубка'!H39="-","нет",""))</f>
        <v>есть</v>
      </c>
      <c r="E676" s="317"/>
      <c r="F676" s="318">
        <f>IF(N('Термотрубка'!G39)&lt;=0,"по запросу",CHOOSE($K$3,IF(N('Термотрубка'!E39)&gt;0,N('Термотрубка'!E39),N('Термотрубка'!G39)),IF(N('Термотрубка'!F39)&gt;0,N('Термотрубка'!F39),N('Термотрубка'!G39)),N('Термотрубка'!G39)))</f>
        <v>407.6</v>
      </c>
      <c r="G676" s="319" t="str">
        <f>IF(I676&lt;=0,"",IF(ISNUMBER(F676),I676*F676,"по запросу"))</f>
        <v/>
      </c>
      <c r="H676" s="320">
        <f>N('Термотрубка'!I39)</f>
        <v>0</v>
      </c>
      <c r="I676" s="320">
        <f>IF(N(E676)&gt;0,N(E676),H676)</f>
        <v>0</v>
      </c>
      <c r="J676" s="320">
        <f>I676*IF(N('Термотрубка'!E39)&gt;0,N('Термотрубка'!E39),N('Термотрубка'!G39))</f>
        <v>0</v>
      </c>
      <c r="K676" s="320">
        <f>I676*IF(N('Термотрубка'!F39)&gt;0,N('Термотрубка'!F39),N('Термотрубка'!G39))</f>
        <v>0</v>
      </c>
      <c r="L676" s="320">
        <f>N(L675)+(N(I676)&gt;0)</f>
        <v>0</v>
      </c>
    </row>
    <row r="677" ht="20" customHeight="1">
      <c r="A677" s="321" t="inlineStr">
        <is>
          <t xml:space="preserve">Термотрубка</t>
        </is>
      </c>
      <c r="B677" s="312" t="inlineStr">
        <is>
          <t xml:space="preserve">Трубки термоусадочные, коэффициент усадки 2:1, с клеевым слоем</t>
        </is>
      </c>
      <c r="L677" s="320">
        <f>N(L676)+(N(I677)&gt;0)</f>
        <v>0</v>
      </c>
    </row>
    <row r="678">
      <c r="A678" s="321" t="inlineStr">
        <is>
          <t xml:space="preserve">Термотрубка</t>
        </is>
      </c>
      <c r="B678" s="314" t="str">
        <f>'Термотрубка'!A41&amp;""</f>
        <v>SAA-KIT 2,4-12,7/10-Color</v>
      </c>
      <c r="C678" s="315" t="str">
        <f>'Термотрубка'!B41&amp;""</f>
        <v>Набор термоусадочных трубок, диаметр:2.4мм-12.7мм (нарезка 10см). В наборе 85шт: Ø2.4×100mm×30; Ø3.2×100mm×20; Ø4.8×100mm×15; Ø6.4×100mm×10; Ø9.5×100mm×5; Ø12.7×100mm×5 цвета: красный, синий, зеленый, прозр., черный цвета:черный, красный, синий, прозрачный, белый, желтый; с клеевым слоем</v>
      </c>
      <c r="D678" s="316" t="str">
        <f>IF('Термотрубка'!H41="+","есть",IF('Термотрубка'!H41="-","нет",""))</f>
        <v>есть</v>
      </c>
      <c r="E678" s="317"/>
      <c r="F678" s="318">
        <f>IF(N('Термотрубка'!G41)&lt;=0,"по запросу",CHOOSE($K$3,IF(N('Термотрубка'!E41)&gt;0,N('Термотрубка'!E41),N('Термотрубка'!G41)),IF(N('Термотрубка'!F41)&gt;0,N('Термотрубка'!F41),N('Термотрубка'!G41)),N('Термотрубка'!G41)))</f>
        <v>896.1</v>
      </c>
      <c r="G678" s="319" t="str">
        <f>IF(I678&lt;=0,"",IF(ISNUMBER(F678),I678*F678,"по запросу"))</f>
        <v/>
      </c>
      <c r="H678" s="320">
        <f>N('Термотрубка'!I41)</f>
        <v>0</v>
      </c>
      <c r="I678" s="320">
        <f>IF(N(E678)&gt;0,N(E678),H678)</f>
        <v>0</v>
      </c>
      <c r="J678" s="320">
        <f>I678*IF(N('Термотрубка'!E41)&gt;0,N('Термотрубка'!E41),N('Термотрубка'!G41))</f>
        <v>0</v>
      </c>
      <c r="K678" s="320">
        <f>I678*IF(N('Термотрубка'!F41)&gt;0,N('Термотрубка'!F41),N('Термотрубка'!G41))</f>
        <v>0</v>
      </c>
      <c r="L678" s="320">
        <f>N(L677)+(N(I678)&gt;0)</f>
        <v>0</v>
      </c>
    </row>
    <row r="679" ht="20" customHeight="1">
      <c r="A679" s="321" t="inlineStr">
        <is>
          <t xml:space="preserve">Термотрубка</t>
        </is>
      </c>
      <c r="B679" s="312" t="inlineStr">
        <is>
          <t xml:space="preserve">Трубки термоусадочные, коэффициент усадки 3:1, с клеевым слоем</t>
        </is>
      </c>
      <c r="L679" s="320">
        <f>N(L678)+(N(I679)&gt;0)</f>
        <v>0</v>
      </c>
    </row>
    <row r="680">
      <c r="A680" s="321" t="inlineStr">
        <is>
          <t xml:space="preserve">Термотрубка</t>
        </is>
      </c>
      <c r="B680" s="314" t="str">
        <f>'Термотрубка'!A43&amp;""</f>
        <v>SAA-3/1 (1,22м)</v>
      </c>
      <c r="C680" s="315" t="str">
        <f>'Термотрубка'!B43&amp;""</f>
        <v>Черный. D до усадки (min)=3,2  мм, D после усадки (max)=1,6   мм; с клеевым слоем; 1,22м</v>
      </c>
      <c r="D680" s="316" t="str">
        <f>IF('Термотрубка'!H43="+","есть",IF('Термотрубка'!H43="-","нет",""))</f>
        <v>нет</v>
      </c>
      <c r="E680" s="317"/>
      <c r="F680" s="318">
        <f>IF(N('Термотрубка'!G43)&lt;=0,"по запросу",CHOOSE($K$3,IF(N('Термотрубка'!E43)&gt;0,N('Термотрубка'!E43),N('Термотрубка'!G43)),IF(N('Термотрубка'!F43)&gt;0,N('Термотрубка'!F43),N('Термотрубка'!G43)),N('Термотрубка'!G43)))</f>
        <v>58.5</v>
      </c>
      <c r="G680" s="319" t="str">
        <f>IF(I680&lt;=0,"",IF(ISNUMBER(F680),I680*F680,"по запросу"))</f>
        <v/>
      </c>
      <c r="H680" s="320">
        <f>N('Термотрубка'!I43)</f>
        <v>0</v>
      </c>
      <c r="I680" s="320">
        <f>IF(N(E680)&gt;0,N(E680),H680)</f>
        <v>0</v>
      </c>
      <c r="J680" s="320">
        <f>I680*IF(N('Термотрубка'!E43)&gt;0,N('Термотрубка'!E43),N('Термотрубка'!G43))</f>
        <v>0</v>
      </c>
      <c r="K680" s="320">
        <f>I680*IF(N('Термотрубка'!F43)&gt;0,N('Термотрубка'!F43),N('Термотрубка'!G43))</f>
        <v>0</v>
      </c>
      <c r="L680" s="320">
        <f>N(L679)+(N(I680)&gt;0)</f>
        <v>0</v>
      </c>
    </row>
    <row r="681">
      <c r="A681" s="321" t="inlineStr">
        <is>
          <t xml:space="preserve">Термотрубка</t>
        </is>
      </c>
      <c r="B681" s="314" t="str">
        <f>'Термотрубка'!A44&amp;""</f>
        <v>SAA-3/1 (12,2м)</v>
      </c>
      <c r="C681" s="315" t="str">
        <f>'Термотрубка'!B44&amp;""</f>
        <v>Черный. D до усадки (min)=3,2  мм, D после усадки (max)=1,6   мм; с клеевым слоем; 1,22м * 10шт</v>
      </c>
      <c r="D681" s="316" t="str">
        <f>IF('Термотрубка'!H44="+","есть",IF('Термотрубка'!H44="-","нет",""))</f>
        <v>есть</v>
      </c>
      <c r="E681" s="317"/>
      <c r="F681" s="318">
        <f>IF(N('Термотрубка'!G44)&lt;=0,"по запросу",CHOOSE($K$3,IF(N('Термотрубка'!E44)&gt;0,N('Термотрубка'!E44),N('Термотрубка'!G44)),IF(N('Термотрубка'!F44)&gt;0,N('Термотрубка'!F44),N('Термотрубка'!G44)),N('Термотрубка'!G44)))</f>
        <v>585.2</v>
      </c>
      <c r="G681" s="319" t="str">
        <f>IF(I681&lt;=0,"",IF(ISNUMBER(F681),I681*F681,"по запросу"))</f>
        <v/>
      </c>
      <c r="H681" s="320">
        <f>N('Термотрубка'!I44)</f>
        <v>0</v>
      </c>
      <c r="I681" s="320">
        <f>IF(N(E681)&gt;0,N(E681),H681)</f>
        <v>0</v>
      </c>
      <c r="J681" s="320">
        <f>I681*IF(N('Термотрубка'!E44)&gt;0,N('Термотрубка'!E44),N('Термотрубка'!G44))</f>
        <v>0</v>
      </c>
      <c r="K681" s="320">
        <f>I681*IF(N('Термотрубка'!F44)&gt;0,N('Термотрубка'!F44),N('Термотрубка'!G44))</f>
        <v>0</v>
      </c>
      <c r="L681" s="320">
        <f>N(L680)+(N(I681)&gt;0)</f>
        <v>0</v>
      </c>
    </row>
    <row r="682">
      <c r="A682" s="321" t="inlineStr">
        <is>
          <t xml:space="preserve">Термотрубка</t>
        </is>
      </c>
      <c r="B682" s="314" t="str">
        <f>'Термотрубка'!A45&amp;""</f>
        <v>SAA-3/1</v>
      </c>
      <c r="C682" s="315" t="str">
        <f>'Термотрубка'!B45&amp;""</f>
        <v>Черный. D до усадки (min)=3,2  мм, D после усадки (max)=1,6   мм; с клеевым слоем; 200м</v>
      </c>
      <c r="D682" s="316" t="str">
        <f>IF('Термотрубка'!H45="+","есть",IF('Термотрубка'!H45="-","нет",""))</f>
        <v>есть</v>
      </c>
      <c r="E682" s="317"/>
      <c r="F682" s="318">
        <f>IF(N('Термотрубка'!G45)&lt;=0,"по запросу",CHOOSE($K$3,IF(N('Термотрубка'!E45)&gt;0,N('Термотрубка'!E45),N('Термотрубка'!G45)),IF(N('Термотрубка'!F45)&gt;0,N('Термотрубка'!F45),N('Термотрубка'!G45)),N('Термотрубка'!G45)))</f>
        <v>9605.4</v>
      </c>
      <c r="G682" s="319" t="str">
        <f>IF(I682&lt;=0,"",IF(ISNUMBER(F682),I682*F682,"по запросу"))</f>
        <v/>
      </c>
      <c r="H682" s="320">
        <f>N('Термотрубка'!I45)</f>
        <v>0</v>
      </c>
      <c r="I682" s="320">
        <f>IF(N(E682)&gt;0,N(E682),H682)</f>
        <v>0</v>
      </c>
      <c r="J682" s="320">
        <f>I682*IF(N('Термотрубка'!E45)&gt;0,N('Термотрубка'!E45),N('Термотрубка'!G45))</f>
        <v>0</v>
      </c>
      <c r="K682" s="320">
        <f>I682*IF(N('Термотрубка'!F45)&gt;0,N('Термотрубка'!F45),N('Термотрубка'!G45))</f>
        <v>0</v>
      </c>
      <c r="L682" s="320">
        <f>N(L681)+(N(I682)&gt;0)</f>
        <v>0</v>
      </c>
    </row>
    <row r="683">
      <c r="A683" s="321" t="inlineStr">
        <is>
          <t xml:space="preserve">Термотрубка</t>
        </is>
      </c>
      <c r="B683" s="314" t="str">
        <f>'Термотрубка'!A46&amp;""</f>
        <v>SAA-4/1,6 (1,22м)</v>
      </c>
      <c r="C683" s="315" t="str">
        <f>'Термотрубка'!B46&amp;""</f>
        <v>Черный. D до усадки (min)=4,7мм, D после усадки (max)= 1,6мм; с клеевым слоем; 1,22м</v>
      </c>
      <c r="D683" s="316" t="str">
        <f>IF('Термотрубка'!H46="+","есть",IF('Термотрубка'!H46="-","нет",""))</f>
        <v>есть</v>
      </c>
      <c r="E683" s="317"/>
      <c r="F683" s="318">
        <f>IF(N('Термотрубка'!G46)&lt;=0,"по запросу",CHOOSE($K$3,IF(N('Термотрубка'!E46)&gt;0,N('Термотрубка'!E46),N('Термотрубка'!G46)),IF(N('Термотрубка'!F46)&gt;0,N('Термотрубка'!F46),N('Термотрубка'!G46)),N('Термотрубка'!G46)))</f>
        <v>62.6</v>
      </c>
      <c r="G683" s="319" t="str">
        <f>IF(I683&lt;=0,"",IF(ISNUMBER(F683),I683*F683,"по запросу"))</f>
        <v/>
      </c>
      <c r="H683" s="320">
        <f>N('Термотрубка'!I46)</f>
        <v>0</v>
      </c>
      <c r="I683" s="320">
        <f>IF(N(E683)&gt;0,N(E683),H683)</f>
        <v>0</v>
      </c>
      <c r="J683" s="320">
        <f>I683*IF(N('Термотрубка'!E46)&gt;0,N('Термотрубка'!E46),N('Термотрубка'!G46))</f>
        <v>0</v>
      </c>
      <c r="K683" s="320">
        <f>I683*IF(N('Термотрубка'!F46)&gt;0,N('Термотрубка'!F46),N('Термотрубка'!G46))</f>
        <v>0</v>
      </c>
      <c r="L683" s="320">
        <f>N(L682)+(N(I683)&gt;0)</f>
        <v>0</v>
      </c>
    </row>
    <row r="684">
      <c r="A684" s="321" t="inlineStr">
        <is>
          <t xml:space="preserve">Термотрубка</t>
        </is>
      </c>
      <c r="B684" s="314" t="str">
        <f>'Термотрубка'!A47&amp;""</f>
        <v>SAA-4/1,6 (12,2м)</v>
      </c>
      <c r="C684" s="315" t="str">
        <f>'Термотрубка'!B47&amp;""</f>
        <v>Черный. D до усадки (min)=4,7мм, D после усадки (max)= 1,6мм; с клеевым слоем; 1,22м * 10шт</v>
      </c>
      <c r="D684" s="316" t="str">
        <f>IF('Термотрубка'!H47="+","есть",IF('Термотрубка'!H47="-","нет",""))</f>
        <v>есть</v>
      </c>
      <c r="E684" s="317"/>
      <c r="F684" s="318">
        <f>IF(N('Термотрубка'!G47)&lt;=0,"по запросу",CHOOSE($K$3,IF(N('Термотрубка'!E47)&gt;0,N('Термотрубка'!E47),N('Термотрубка'!G47)),IF(N('Термотрубка'!F47)&gt;0,N('Термотрубка'!F47),N('Термотрубка'!G47)),N('Термотрубка'!G47)))</f>
        <v>625.8</v>
      </c>
      <c r="G684" s="319" t="str">
        <f>IF(I684&lt;=0,"",IF(ISNUMBER(F684),I684*F684,"по запросу"))</f>
        <v/>
      </c>
      <c r="H684" s="320">
        <f>N('Термотрубка'!I47)</f>
        <v>0</v>
      </c>
      <c r="I684" s="320">
        <f>IF(N(E684)&gt;0,N(E684),H684)</f>
        <v>0</v>
      </c>
      <c r="J684" s="320">
        <f>I684*IF(N('Термотрубка'!E47)&gt;0,N('Термотрубка'!E47),N('Термотрубка'!G47))</f>
        <v>0</v>
      </c>
      <c r="K684" s="320">
        <f>I684*IF(N('Термотрубка'!F47)&gt;0,N('Термотрубка'!F47),N('Термотрубка'!G47))</f>
        <v>0</v>
      </c>
      <c r="L684" s="320">
        <f>N(L683)+(N(I684)&gt;0)</f>
        <v>0</v>
      </c>
    </row>
    <row r="685">
      <c r="A685" s="321" t="inlineStr">
        <is>
          <t xml:space="preserve">Термотрубка</t>
        </is>
      </c>
      <c r="B685" s="314" t="str">
        <f>'Термотрубка'!A48&amp;""</f>
        <v>SAA-4/1,6</v>
      </c>
      <c r="C685" s="315" t="str">
        <f>'Термотрубка'!B48&amp;""</f>
        <v>Черный. D до усадки (min)=4,7мм, D после усадки (max)= 1,6мм; с клеевым слоем; 100м</v>
      </c>
      <c r="D685" s="316" t="str">
        <f>IF('Термотрубка'!H48="+","есть",IF('Термотрубка'!H48="-","нет",""))</f>
        <v>есть</v>
      </c>
      <c r="E685" s="317"/>
      <c r="F685" s="318">
        <f>IF(N('Термотрубка'!G48)&lt;=0,"по запросу",CHOOSE($K$3,IF(N('Термотрубка'!E48)&gt;0,N('Термотрубка'!E48),N('Термотрубка'!G48)),IF(N('Термотрубка'!F48)&gt;0,N('Термотрубка'!F48),N('Термотрубка'!G48)),N('Термотрубка'!G48)))</f>
        <v>5090.1</v>
      </c>
      <c r="G685" s="319" t="str">
        <f>IF(I685&lt;=0,"",IF(ISNUMBER(F685),I685*F685,"по запросу"))</f>
        <v/>
      </c>
      <c r="H685" s="320">
        <f>N('Термотрубка'!I48)</f>
        <v>0</v>
      </c>
      <c r="I685" s="320">
        <f>IF(N(E685)&gt;0,N(E685),H685)</f>
        <v>0</v>
      </c>
      <c r="J685" s="320">
        <f>I685*IF(N('Термотрубка'!E48)&gt;0,N('Термотрубка'!E48),N('Термотрубка'!G48))</f>
        <v>0</v>
      </c>
      <c r="K685" s="320">
        <f>I685*IF(N('Термотрубка'!F48)&gt;0,N('Термотрубка'!F48),N('Термотрубка'!G48))</f>
        <v>0</v>
      </c>
      <c r="L685" s="320">
        <f>N(L684)+(N(I685)&gt;0)</f>
        <v>0</v>
      </c>
    </row>
    <row r="686">
      <c r="A686" s="321" t="inlineStr">
        <is>
          <t xml:space="preserve">Термотрубка</t>
        </is>
      </c>
      <c r="B686" s="314" t="str">
        <f>'Термотрубка'!A49&amp;""</f>
        <v>SAA-6/2 (1,22м)</v>
      </c>
      <c r="C686" s="315" t="str">
        <f>'Термотрубка'!B49&amp;""</f>
        <v>Черный. D до усадки (min)=6,4мм, D после усадки (max)= 2,1мм; с клеевым слоем; 1,22м</v>
      </c>
      <c r="D686" s="316" t="str">
        <f>IF('Термотрубка'!H49="+","есть",IF('Термотрубка'!H49="-","нет",""))</f>
        <v>есть</v>
      </c>
      <c r="E686" s="317"/>
      <c r="F686" s="318">
        <f>IF(N('Термотрубка'!G49)&lt;=0,"по запросу",CHOOSE($K$3,IF(N('Термотрубка'!E49)&gt;0,N('Термотрубка'!E49),N('Термотрубка'!G49)),IF(N('Термотрубка'!F49)&gt;0,N('Термотрубка'!F49),N('Термотрубка'!G49)),N('Термотрубка'!G49)))</f>
        <v>64.2</v>
      </c>
      <c r="G686" s="319" t="str">
        <f>IF(I686&lt;=0,"",IF(ISNUMBER(F686),I686*F686,"по запросу"))</f>
        <v/>
      </c>
      <c r="H686" s="320">
        <f>N('Термотрубка'!I49)</f>
        <v>0</v>
      </c>
      <c r="I686" s="320">
        <f>IF(N(E686)&gt;0,N(E686),H686)</f>
        <v>0</v>
      </c>
      <c r="J686" s="320">
        <f>I686*IF(N('Термотрубка'!E49)&gt;0,N('Термотрубка'!E49),N('Термотрубка'!G49))</f>
        <v>0</v>
      </c>
      <c r="K686" s="320">
        <f>I686*IF(N('Термотрубка'!F49)&gt;0,N('Термотрубка'!F49),N('Термотрубка'!G49))</f>
        <v>0</v>
      </c>
      <c r="L686" s="320">
        <f>N(L685)+(N(I686)&gt;0)</f>
        <v>0</v>
      </c>
    </row>
    <row r="687">
      <c r="A687" s="321" t="inlineStr">
        <is>
          <t xml:space="preserve">Термотрубка</t>
        </is>
      </c>
      <c r="B687" s="314" t="str">
        <f>'Термотрубка'!A50&amp;""</f>
        <v>SAA-6/2 (12,2м)</v>
      </c>
      <c r="C687" s="315" t="str">
        <f>'Термотрубка'!B50&amp;""</f>
        <v>Черный. D до усадки (min)=6,4мм, D после усадки (max)= 2,1мм; с клеевым слоем; 1,22м * 10 шт</v>
      </c>
      <c r="D687" s="316" t="str">
        <f>IF('Термотрубка'!H50="+","есть",IF('Термотрубка'!H50="-","нет",""))</f>
        <v>есть</v>
      </c>
      <c r="E687" s="317"/>
      <c r="F687" s="318">
        <f>IF(N('Термотрубка'!G50)&lt;=0,"по запросу",CHOOSE($K$3,IF(N('Термотрубка'!E50)&gt;0,N('Термотрубка'!E50),N('Термотрубка'!G50)),IF(N('Термотрубка'!F50)&gt;0,N('Термотрубка'!F50),N('Термотрубка'!G50)),N('Термотрубка'!G50)))</f>
        <v>641.9</v>
      </c>
      <c r="G687" s="319" t="str">
        <f>IF(I687&lt;=0,"",IF(ISNUMBER(F687),I687*F687,"по запросу"))</f>
        <v/>
      </c>
      <c r="H687" s="320">
        <f>N('Термотрубка'!I50)</f>
        <v>0</v>
      </c>
      <c r="I687" s="320">
        <f>IF(N(E687)&gt;0,N(E687),H687)</f>
        <v>0</v>
      </c>
      <c r="J687" s="320">
        <f>I687*IF(N('Термотрубка'!E50)&gt;0,N('Термотрубка'!E50),N('Термотрубка'!G50))</f>
        <v>0</v>
      </c>
      <c r="K687" s="320">
        <f>I687*IF(N('Термотрубка'!F50)&gt;0,N('Термотрубка'!F50),N('Термотрубка'!G50))</f>
        <v>0</v>
      </c>
      <c r="L687" s="320">
        <f>N(L686)+(N(I687)&gt;0)</f>
        <v>0</v>
      </c>
    </row>
    <row r="688">
      <c r="A688" s="321" t="inlineStr">
        <is>
          <t xml:space="preserve">Термотрубка</t>
        </is>
      </c>
      <c r="B688" s="314" t="str">
        <f>'Термотрубка'!A51&amp;""</f>
        <v>SAA-6/2</v>
      </c>
      <c r="C688" s="315" t="str">
        <f>'Термотрубка'!B51&amp;""</f>
        <v>Черный. D до усадки (min)=6,4мм, D после усадки (max)= 2,1мм; с клеевым слоем; 100м</v>
      </c>
      <c r="D688" s="316" t="str">
        <f>IF('Термотрубка'!H51="+","есть",IF('Термотрубка'!H51="-","нет",""))</f>
        <v>есть</v>
      </c>
      <c r="E688" s="317"/>
      <c r="F688" s="318">
        <f>IF(N('Термотрубка'!G51)&lt;=0,"по запросу",CHOOSE($K$3,IF(N('Термотрубка'!E51)&gt;0,N('Термотрубка'!E51),N('Термотрубка'!G51)),IF(N('Термотрубка'!F51)&gt;0,N('Термотрубка'!F51),N('Термотрубка'!G51)),N('Термотрубка'!G51)))</f>
        <v>5245.5</v>
      </c>
      <c r="G688" s="319" t="str">
        <f>IF(I688&lt;=0,"",IF(ISNUMBER(F688),I688*F688,"по запросу"))</f>
        <v/>
      </c>
      <c r="H688" s="320">
        <f>N('Термотрубка'!I51)</f>
        <v>0</v>
      </c>
      <c r="I688" s="320">
        <f>IF(N(E688)&gt;0,N(E688),H688)</f>
        <v>0</v>
      </c>
      <c r="J688" s="320">
        <f>I688*IF(N('Термотрубка'!E51)&gt;0,N('Термотрубка'!E51),N('Термотрубка'!G51))</f>
        <v>0</v>
      </c>
      <c r="K688" s="320">
        <f>I688*IF(N('Термотрубка'!F51)&gt;0,N('Термотрубка'!F51),N('Термотрубка'!G51))</f>
        <v>0</v>
      </c>
      <c r="L688" s="320">
        <f>N(L687)+(N(I688)&gt;0)</f>
        <v>0</v>
      </c>
    </row>
    <row r="689">
      <c r="A689" s="321" t="inlineStr">
        <is>
          <t xml:space="preserve">Термотрубка</t>
        </is>
      </c>
      <c r="B689" s="314" t="str">
        <f>'Термотрубка'!A52&amp;""</f>
        <v>SAA-6/2 clear</v>
      </c>
      <c r="C689" s="315" t="str">
        <f>'Термотрубка'!B52&amp;""</f>
        <v>Прозрачный. D до усадки (min)=6,4мм, D после усадки (max)= 2,1мм; с клеевым слоем; 100м</v>
      </c>
      <c r="D689" s="316" t="str">
        <f>IF('Термотрубка'!H52="+","есть",IF('Термотрубка'!H52="-","нет",""))</f>
        <v>есть</v>
      </c>
      <c r="E689" s="317"/>
      <c r="F689" s="318">
        <f>IF(N('Термотрубка'!G52)&lt;=0,"по запросу",CHOOSE($K$3,IF(N('Термотрубка'!E52)&gt;0,N('Термотрубка'!E52),N('Термотрубка'!G52)),IF(N('Термотрубка'!F52)&gt;0,N('Термотрубка'!F52),N('Термотрубка'!G52)),N('Термотрубка'!G52)))</f>
        <v>5245.5</v>
      </c>
      <c r="G689" s="319" t="str">
        <f>IF(I689&lt;=0,"",IF(ISNUMBER(F689),I689*F689,"по запросу"))</f>
        <v/>
      </c>
      <c r="H689" s="320">
        <f>N('Термотрубка'!I52)</f>
        <v>0</v>
      </c>
      <c r="I689" s="320">
        <f>IF(N(E689)&gt;0,N(E689),H689)</f>
        <v>0</v>
      </c>
      <c r="J689" s="320">
        <f>I689*IF(N('Термотрубка'!E52)&gt;0,N('Термотрубка'!E52),N('Термотрубка'!G52))</f>
        <v>0</v>
      </c>
      <c r="K689" s="320">
        <f>I689*IF(N('Термотрубка'!F52)&gt;0,N('Термотрубка'!F52),N('Термотрубка'!G52))</f>
        <v>0</v>
      </c>
      <c r="L689" s="320">
        <f>N(L688)+(N(I689)&gt;0)</f>
        <v>0</v>
      </c>
    </row>
    <row r="690">
      <c r="A690" s="321" t="inlineStr">
        <is>
          <t xml:space="preserve">Термотрубка</t>
        </is>
      </c>
      <c r="B690" s="314" t="str">
        <f>'Термотрубка'!A53&amp;""</f>
        <v>SAA-8/2,6 (1,22м)</v>
      </c>
      <c r="C690" s="315" t="str">
        <f>'Термотрубка'!B53&amp;""</f>
        <v>Черный. D до усадки (min)= 7,9мм, D после усадки (max)= 2,6  мм; с клеевым слоем; 1,22м</v>
      </c>
      <c r="D690" s="316" t="str">
        <f>IF('Термотрубка'!H53="+","есть",IF('Термотрубка'!H53="-","нет",""))</f>
        <v>есть</v>
      </c>
      <c r="E690" s="317"/>
      <c r="F690" s="318">
        <f>IF(N('Термотрубка'!G53)&lt;=0,"по запросу",CHOOSE($K$3,IF(N('Термотрубка'!E53)&gt;0,N('Термотрубка'!E53),N('Термотрубка'!G53)),IF(N('Термотрубка'!F53)&gt;0,N('Термотрубка'!F53),N('Термотрубка'!G53)),N('Термотрубка'!G53)))</f>
        <v>67.4</v>
      </c>
      <c r="G690" s="319" t="str">
        <f>IF(I690&lt;=0,"",IF(ISNUMBER(F690),I690*F690,"по запросу"))</f>
        <v/>
      </c>
      <c r="H690" s="320">
        <f>N('Термотрубка'!I53)</f>
        <v>0</v>
      </c>
      <c r="I690" s="320">
        <f>IF(N(E690)&gt;0,N(E690),H690)</f>
        <v>0</v>
      </c>
      <c r="J690" s="320">
        <f>I690*IF(N('Термотрубка'!E53)&gt;0,N('Термотрубка'!E53),N('Термотрубка'!G53))</f>
        <v>0</v>
      </c>
      <c r="K690" s="320">
        <f>I690*IF(N('Термотрубка'!F53)&gt;0,N('Термотрубка'!F53),N('Термотрубка'!G53))</f>
        <v>0</v>
      </c>
      <c r="L690" s="320">
        <f>N(L689)+(N(I690)&gt;0)</f>
        <v>0</v>
      </c>
    </row>
    <row r="691">
      <c r="A691" s="321" t="inlineStr">
        <is>
          <t xml:space="preserve">Термотрубка</t>
        </is>
      </c>
      <c r="B691" s="314" t="str">
        <f>'Термотрубка'!A54&amp;""</f>
        <v>SAA-8/2,6 (12,2м)</v>
      </c>
      <c r="C691" s="315" t="str">
        <f>'Термотрубка'!B54&amp;""</f>
        <v>Черный. D до усадки (min)= 7,9мм, D после усадки (max)= 2,6  мм; с клеевым слоем; 1,22м * 10шт</v>
      </c>
      <c r="D691" s="316" t="str">
        <f>IF('Термотрубка'!H54="+","есть",IF('Термотрубка'!H54="-","нет",""))</f>
        <v>есть</v>
      </c>
      <c r="E691" s="317"/>
      <c r="F691" s="318">
        <f>IF(N('Термотрубка'!G54)&lt;=0,"по запросу",CHOOSE($K$3,IF(N('Термотрубка'!E54)&gt;0,N('Термотрубка'!E54),N('Термотрубка'!G54)),IF(N('Термотрубка'!F54)&gt;0,N('Термотрубка'!F54),N('Термотрубка'!G54)),N('Термотрубка'!G54)))</f>
        <v>674.1</v>
      </c>
      <c r="G691" s="319" t="str">
        <f>IF(I691&lt;=0,"",IF(ISNUMBER(F691),I691*F691,"по запросу"))</f>
        <v/>
      </c>
      <c r="H691" s="320">
        <f>N('Термотрубка'!I54)</f>
        <v>0</v>
      </c>
      <c r="I691" s="320">
        <f>IF(N(E691)&gt;0,N(E691),H691)</f>
        <v>0</v>
      </c>
      <c r="J691" s="320">
        <f>I691*IF(N('Термотрубка'!E54)&gt;0,N('Термотрубка'!E54),N('Термотрубка'!G54))</f>
        <v>0</v>
      </c>
      <c r="K691" s="320">
        <f>I691*IF(N('Термотрубка'!F54)&gt;0,N('Термотрубка'!F54),N('Термотрубка'!G54))</f>
        <v>0</v>
      </c>
      <c r="L691" s="320">
        <f>N(L690)+(N(I691)&gt;0)</f>
        <v>0</v>
      </c>
    </row>
    <row r="692">
      <c r="A692" s="321" t="inlineStr">
        <is>
          <t xml:space="preserve">Термотрубка</t>
        </is>
      </c>
      <c r="B692" s="314" t="str">
        <f>'Термотрубка'!A55&amp;""</f>
        <v>SAA-9/3 (1,22м)</v>
      </c>
      <c r="C692" s="315" t="str">
        <f>'Термотрубка'!B55&amp;""</f>
        <v>Черный. D до усадки (min)=9,5 мм, D после усадки (max)=3,2 мм; с клеевым слоем; 1,22м</v>
      </c>
      <c r="D692" s="316" t="str">
        <f>IF('Термотрубка'!H55="+","есть",IF('Термотрубка'!H55="-","нет",""))</f>
        <v>есть</v>
      </c>
      <c r="E692" s="317"/>
      <c r="F692" s="318">
        <f>IF(N('Термотрубка'!G55)&lt;=0,"по запросу",CHOOSE($K$3,IF(N('Термотрубка'!E55)&gt;0,N('Термотрубка'!E55),N('Термотрубка'!G55)),IF(N('Термотрубка'!F55)&gt;0,N('Термотрубка'!F55),N('Термотрубка'!G55)),N('Термотрубка'!G55)))</f>
        <v>78.6</v>
      </c>
      <c r="G692" s="319" t="str">
        <f>IF(I692&lt;=0,"",IF(ISNUMBER(F692),I692*F692,"по запросу"))</f>
        <v/>
      </c>
      <c r="H692" s="320">
        <f>N('Термотрубка'!I55)</f>
        <v>0</v>
      </c>
      <c r="I692" s="320">
        <f>IF(N(E692)&gt;0,N(E692),H692)</f>
        <v>0</v>
      </c>
      <c r="J692" s="320">
        <f>I692*IF(N('Термотрубка'!E55)&gt;0,N('Термотрубка'!E55),N('Термотрубка'!G55))</f>
        <v>0</v>
      </c>
      <c r="K692" s="320">
        <f>I692*IF(N('Термотрубка'!F55)&gt;0,N('Термотрубка'!F55),N('Термотрубка'!G55))</f>
        <v>0</v>
      </c>
      <c r="L692" s="320">
        <f>N(L691)+(N(I692)&gt;0)</f>
        <v>0</v>
      </c>
    </row>
    <row r="693">
      <c r="A693" s="321" t="inlineStr">
        <is>
          <t xml:space="preserve">Термотрубка</t>
        </is>
      </c>
      <c r="B693" s="314" t="str">
        <f>'Термотрубка'!A56&amp;""</f>
        <v>SAA-9/3 (12,2м)</v>
      </c>
      <c r="C693" s="315" t="str">
        <f>'Термотрубка'!B56&amp;""</f>
        <v>Черный. D до усадки (min)=9,5 мм, D после усадки (max)=3,2 мм; с клеевым слоем; 1,22м * 10 шт</v>
      </c>
      <c r="D693" s="316" t="str">
        <f>IF('Термотрубка'!H56="+","есть",IF('Термотрубка'!H56="-","нет",""))</f>
        <v>есть</v>
      </c>
      <c r="E693" s="317"/>
      <c r="F693" s="318">
        <f>IF(N('Термотрубка'!G56)&lt;=0,"по запросу",CHOOSE($K$3,IF(N('Термотрубка'!E56)&gt;0,N('Термотрубка'!E56),N('Термотрубка'!G56)),IF(N('Термотрубка'!F56)&gt;0,N('Термотрубка'!F56),N('Термотрубка'!G56)),N('Термотрубка'!G56)))</f>
        <v>786.1</v>
      </c>
      <c r="G693" s="319" t="str">
        <f>IF(I693&lt;=0,"",IF(ISNUMBER(F693),I693*F693,"по запросу"))</f>
        <v/>
      </c>
      <c r="H693" s="320">
        <f>N('Термотрубка'!I56)</f>
        <v>0</v>
      </c>
      <c r="I693" s="320">
        <f>IF(N(E693)&gt;0,N(E693),H693)</f>
        <v>0</v>
      </c>
      <c r="J693" s="320">
        <f>I693*IF(N('Термотрубка'!E56)&gt;0,N('Термотрубка'!E56),N('Термотрубка'!G56))</f>
        <v>0</v>
      </c>
      <c r="K693" s="320">
        <f>I693*IF(N('Термотрубка'!F56)&gt;0,N('Термотрубка'!F56),N('Термотрубка'!G56))</f>
        <v>0</v>
      </c>
      <c r="L693" s="320">
        <f>N(L692)+(N(I693)&gt;0)</f>
        <v>0</v>
      </c>
    </row>
    <row r="694">
      <c r="A694" s="321" t="inlineStr">
        <is>
          <t xml:space="preserve">Термотрубка</t>
        </is>
      </c>
      <c r="B694" s="314" t="str">
        <f>'Термотрубка'!A57&amp;""</f>
        <v>SAA-12/4 (1,22м)</v>
      </c>
      <c r="C694" s="315" t="str">
        <f>'Термотрубка'!B57&amp;""</f>
        <v>Черный. D до усадки (min)=12,7мм, D после усадки (max)= 4,23мм; с клеевым слоем; 1,22м</v>
      </c>
      <c r="D694" s="316" t="str">
        <f>IF('Термотрубка'!H57="+","есть",IF('Термотрубка'!H57="-","нет",""))</f>
        <v>есть</v>
      </c>
      <c r="E694" s="317"/>
      <c r="F694" s="318">
        <f>IF(N('Термотрубка'!G57)&lt;=0,"по запросу",CHOOSE($K$3,IF(N('Термотрубка'!E57)&gt;0,N('Термотрубка'!E57),N('Термотрубка'!G57)),IF(N('Термотрубка'!F57)&gt;0,N('Термотрубка'!F57),N('Термотрубка'!G57)),N('Термотрубка'!G57)))</f>
        <v>137.9</v>
      </c>
      <c r="G694" s="319" t="str">
        <f>IF(I694&lt;=0,"",IF(ISNUMBER(F694),I694*F694,"по запросу"))</f>
        <v/>
      </c>
      <c r="H694" s="320">
        <f>N('Термотрубка'!I57)</f>
        <v>0</v>
      </c>
      <c r="I694" s="320">
        <f>IF(N(E694)&gt;0,N(E694),H694)</f>
        <v>0</v>
      </c>
      <c r="J694" s="320">
        <f>I694*IF(N('Термотрубка'!E57)&gt;0,N('Термотрубка'!E57),N('Термотрубка'!G57))</f>
        <v>0</v>
      </c>
      <c r="K694" s="320">
        <f>I694*IF(N('Термотрубка'!F57)&gt;0,N('Термотрубка'!F57),N('Термотрубка'!G57))</f>
        <v>0</v>
      </c>
      <c r="L694" s="320">
        <f>N(L693)+(N(I694)&gt;0)</f>
        <v>0</v>
      </c>
    </row>
    <row r="695">
      <c r="A695" s="321" t="inlineStr">
        <is>
          <t xml:space="preserve">Термотрубка</t>
        </is>
      </c>
      <c r="B695" s="314" t="str">
        <f>'Термотрубка'!A58&amp;""</f>
        <v>SAA-12/4 (12,2м)</v>
      </c>
      <c r="C695" s="315" t="str">
        <f>'Термотрубка'!B58&amp;""</f>
        <v>Черный. D до усадки (min)=12,7мм, D после усадки (max)= 4,23мм; с клеевым слоем; 1,22м * 10 шт</v>
      </c>
      <c r="D695" s="316" t="str">
        <f>IF('Термотрубка'!H58="+","есть",IF('Термотрубка'!H58="-","нет",""))</f>
        <v>есть</v>
      </c>
      <c r="E695" s="317"/>
      <c r="F695" s="318">
        <f>IF(N('Термотрубка'!G58)&lt;=0,"по запросу",CHOOSE($K$3,IF(N('Термотрубка'!E58)&gt;0,N('Термотрубка'!E58),N('Термотрубка'!G58)),IF(N('Термотрубка'!F58)&gt;0,N('Термотрубка'!F58),N('Термотрубка'!G58)),N('Термотрубка'!G58)))</f>
        <v>1379</v>
      </c>
      <c r="G695" s="319" t="str">
        <f>IF(I695&lt;=0,"",IF(ISNUMBER(F695),I695*F695,"по запросу"))</f>
        <v/>
      </c>
      <c r="H695" s="320">
        <f>N('Термотрубка'!I58)</f>
        <v>0</v>
      </c>
      <c r="I695" s="320">
        <f>IF(N(E695)&gt;0,N(E695),H695)</f>
        <v>0</v>
      </c>
      <c r="J695" s="320">
        <f>I695*IF(N('Термотрубка'!E58)&gt;0,N('Термотрубка'!E58),N('Термотрубка'!G58))</f>
        <v>0</v>
      </c>
      <c r="K695" s="320">
        <f>I695*IF(N('Термотрубка'!F58)&gt;0,N('Термотрубка'!F58),N('Термотрубка'!G58))</f>
        <v>0</v>
      </c>
      <c r="L695" s="320">
        <f>N(L694)+(N(I695)&gt;0)</f>
        <v>0</v>
      </c>
    </row>
    <row r="696">
      <c r="A696" s="321" t="inlineStr">
        <is>
          <t xml:space="preserve">Термотрубка</t>
        </is>
      </c>
      <c r="B696" s="314" t="str">
        <f>'Термотрубка'!A59&amp;""</f>
        <v>SAA-16/5,3 (1,22м)</v>
      </c>
      <c r="C696" s="315" t="str">
        <f>'Термотрубка'!B59&amp;""</f>
        <v>Черный. D до усадки (min)= 15,9мм, D после усадки (max)= 5,3мм; с клеевым слоем; 1,22м</v>
      </c>
      <c r="D696" s="316" t="str">
        <f>IF('Термотрубка'!H59="+","есть",IF('Термотрубка'!H59="-","нет",""))</f>
        <v>есть</v>
      </c>
      <c r="E696" s="317"/>
      <c r="F696" s="318">
        <f>IF(N('Термотрубка'!G59)&lt;=0,"по запросу",CHOOSE($K$3,IF(N('Термотрубка'!E59)&gt;0,N('Термотрубка'!E59),N('Термотрубка'!G59)),IF(N('Термотрубка'!F59)&gt;0,N('Термотрубка'!F59),N('Термотрубка'!G59)),N('Термотрубка'!G59)))</f>
        <v>161.9</v>
      </c>
      <c r="G696" s="319" t="str">
        <f>IF(I696&lt;=0,"",IF(ISNUMBER(F696),I696*F696,"по запросу"))</f>
        <v/>
      </c>
      <c r="H696" s="320">
        <f>N('Термотрубка'!I59)</f>
        <v>0</v>
      </c>
      <c r="I696" s="320">
        <f>IF(N(E696)&gt;0,N(E696),H696)</f>
        <v>0</v>
      </c>
      <c r="J696" s="320">
        <f>I696*IF(N('Термотрубка'!E59)&gt;0,N('Термотрубка'!E59),N('Термотрубка'!G59))</f>
        <v>0</v>
      </c>
      <c r="K696" s="320">
        <f>I696*IF(N('Термотрубка'!F59)&gt;0,N('Термотрубка'!F59),N('Термотрубка'!G59))</f>
        <v>0</v>
      </c>
      <c r="L696" s="320">
        <f>N(L695)+(N(I696)&gt;0)</f>
        <v>0</v>
      </c>
    </row>
    <row r="697">
      <c r="A697" s="321" t="inlineStr">
        <is>
          <t xml:space="preserve">Термотрубка</t>
        </is>
      </c>
      <c r="B697" s="314" t="str">
        <f>'Термотрубка'!A60&amp;""</f>
        <v>SAA-16/5,3 (12,2м)</v>
      </c>
      <c r="C697" s="315" t="str">
        <f>'Термотрубка'!B60&amp;""</f>
        <v>Черный. D до усадки (min)= 15,9мм, D после усадки (max)= 5,3мм; с клеевым слоем; 1,22м * 10 шт</v>
      </c>
      <c r="D697" s="316" t="str">
        <f>IF('Термотрубка'!H60="+","есть",IF('Термотрубка'!H60="-","нет",""))</f>
        <v>есть</v>
      </c>
      <c r="E697" s="317"/>
      <c r="F697" s="318">
        <f>IF(N('Термотрубка'!G60)&lt;=0,"по запросу",CHOOSE($K$3,IF(N('Термотрубка'!E60)&gt;0,N('Термотрубка'!E60),N('Термотрубка'!G60)),IF(N('Термотрубка'!F60)&gt;0,N('Термотрубка'!F60),N('Термотрубка'!G60)),N('Термотрубка'!G60)))</f>
        <v>1619.1</v>
      </c>
      <c r="G697" s="319" t="str">
        <f>IF(I697&lt;=0,"",IF(ISNUMBER(F697),I697*F697,"по запросу"))</f>
        <v/>
      </c>
      <c r="H697" s="320">
        <f>N('Термотрубка'!I60)</f>
        <v>0</v>
      </c>
      <c r="I697" s="320">
        <f>IF(N(E697)&gt;0,N(E697),H697)</f>
        <v>0</v>
      </c>
      <c r="J697" s="320">
        <f>I697*IF(N('Термотрубка'!E60)&gt;0,N('Термотрубка'!E60),N('Термотрубка'!G60))</f>
        <v>0</v>
      </c>
      <c r="K697" s="320">
        <f>I697*IF(N('Термотрубка'!F60)&gt;0,N('Термотрубка'!F60),N('Термотрубка'!G60))</f>
        <v>0</v>
      </c>
      <c r="L697" s="320">
        <f>N(L696)+(N(I697)&gt;0)</f>
        <v>0</v>
      </c>
    </row>
    <row r="698">
      <c r="A698" s="321" t="inlineStr">
        <is>
          <t xml:space="preserve">Термотрубка</t>
        </is>
      </c>
      <c r="B698" s="314" t="str">
        <f>'Термотрубка'!A61&amp;""</f>
        <v>SAA-19/6,3 (1,22м)</v>
      </c>
      <c r="C698" s="315" t="str">
        <f>'Термотрубка'!B61&amp;""</f>
        <v>Черный. D до усадки (min)= 19,1мм, D после усадки (max)= 6,37мм; с клеевым слоем; 1,22м</v>
      </c>
      <c r="D698" s="316" t="str">
        <f>IF('Термотрубка'!H61="+","есть",IF('Термотрубка'!H61="-","нет",""))</f>
        <v>есть</v>
      </c>
      <c r="E698" s="317"/>
      <c r="F698" s="318">
        <f>IF(N('Термотрубка'!G61)&lt;=0,"по запросу",CHOOSE($K$3,IF(N('Термотрубка'!E61)&gt;0,N('Термотрубка'!E61),N('Термотрубка'!G61)),IF(N('Термотрубка'!F61)&gt;0,N('Термотрубка'!F61),N('Термотрубка'!G61)),N('Термотрубка'!G61)))</f>
        <v>195.7</v>
      </c>
      <c r="G698" s="319" t="str">
        <f>IF(I698&lt;=0,"",IF(ISNUMBER(F698),I698*F698,"по запросу"))</f>
        <v/>
      </c>
      <c r="H698" s="320">
        <f>N('Термотрубка'!I61)</f>
        <v>0</v>
      </c>
      <c r="I698" s="320">
        <f>IF(N(E698)&gt;0,N(E698),H698)</f>
        <v>0</v>
      </c>
      <c r="J698" s="320">
        <f>I698*IF(N('Термотрубка'!E61)&gt;0,N('Термотрубка'!E61),N('Термотрубка'!G61))</f>
        <v>0</v>
      </c>
      <c r="K698" s="320">
        <f>I698*IF(N('Термотрубка'!F61)&gt;0,N('Термотрубка'!F61),N('Термотрубка'!G61))</f>
        <v>0</v>
      </c>
      <c r="L698" s="320">
        <f>N(L697)+(N(I698)&gt;0)</f>
        <v>0</v>
      </c>
    </row>
    <row r="699">
      <c r="A699" s="321" t="inlineStr">
        <is>
          <t xml:space="preserve">Термотрубка</t>
        </is>
      </c>
      <c r="B699" s="314" t="str">
        <f>'Термотрубка'!A62&amp;""</f>
        <v>SAA-19/6,3 (12,2м)</v>
      </c>
      <c r="C699" s="315" t="str">
        <f>'Термотрубка'!B62&amp;""</f>
        <v>Черный. D до усадки (min)= 19,1мм, D после усадки (max)= 6,37мм; с клеевым слоем; 1,22м * 10 шт</v>
      </c>
      <c r="D699" s="316" t="str">
        <f>IF('Термотрубка'!H62="+","есть",IF('Термотрубка'!H62="-","нет",""))</f>
        <v>есть</v>
      </c>
      <c r="E699" s="317"/>
      <c r="F699" s="318">
        <f>IF(N('Термотрубка'!G62)&lt;=0,"по запросу",CHOOSE($K$3,IF(N('Термотрубка'!E62)&gt;0,N('Термотрубка'!E62),N('Термотрубка'!G62)),IF(N('Термотрубка'!F62)&gt;0,N('Термотрубка'!F62),N('Термотрубка'!G62)),N('Термотрубка'!G62)))</f>
        <v>1956.5</v>
      </c>
      <c r="G699" s="319" t="str">
        <f>IF(I699&lt;=0,"",IF(ISNUMBER(F699),I699*F699,"по запросу"))</f>
        <v/>
      </c>
      <c r="H699" s="320">
        <f>N('Термотрубка'!I62)</f>
        <v>0</v>
      </c>
      <c r="I699" s="320">
        <f>IF(N(E699)&gt;0,N(E699),H699)</f>
        <v>0</v>
      </c>
      <c r="J699" s="320">
        <f>I699*IF(N('Термотрубка'!E62)&gt;0,N('Термотрубка'!E62),N('Термотрубка'!G62))</f>
        <v>0</v>
      </c>
      <c r="K699" s="320">
        <f>I699*IF(N('Термотрубка'!F62)&gt;0,N('Термотрубка'!F62),N('Термотрубка'!G62))</f>
        <v>0</v>
      </c>
      <c r="L699" s="320">
        <f>N(L698)+(N(I699)&gt;0)</f>
        <v>0</v>
      </c>
    </row>
    <row r="700">
      <c r="A700" s="321" t="inlineStr">
        <is>
          <t xml:space="preserve">Термотрубка</t>
        </is>
      </c>
      <c r="B700" s="314" t="str">
        <f>'Термотрубка'!A63&amp;""</f>
        <v>SAA-25/8,3 (1,22м)</v>
      </c>
      <c r="C700" s="315" t="str">
        <f>'Термотрубка'!B63&amp;""</f>
        <v>Черный. D до усадки (min)= 25,4мм, D после усадки (max)= 8,3мм; с клеевым слоем; 1,22м</v>
      </c>
      <c r="D700" s="316" t="str">
        <f>IF('Термотрубка'!H63="+","есть",IF('Термотрубка'!H63="-","нет",""))</f>
        <v>есть</v>
      </c>
      <c r="E700" s="317"/>
      <c r="F700" s="318">
        <f>IF(N('Термотрубка'!G63)&lt;=0,"по запросу",CHOOSE($K$3,IF(N('Термотрубка'!E63)&gt;0,N('Термотрубка'!E63),N('Термотрубка'!G63)),IF(N('Термотрубка'!F63)&gt;0,N('Термотрубка'!F63),N('Термотрубка'!G63)),N('Термотрубка'!G63)))</f>
        <v>287.8</v>
      </c>
      <c r="G700" s="319" t="str">
        <f>IF(I700&lt;=0,"",IF(ISNUMBER(F700),I700*F700,"по запросу"))</f>
        <v/>
      </c>
      <c r="H700" s="320">
        <f>N('Термотрубка'!I63)</f>
        <v>0</v>
      </c>
      <c r="I700" s="320">
        <f>IF(N(E700)&gt;0,N(E700),H700)</f>
        <v>0</v>
      </c>
      <c r="J700" s="320">
        <f>I700*IF(N('Термотрубка'!E63)&gt;0,N('Термотрубка'!E63),N('Термотрубка'!G63))</f>
        <v>0</v>
      </c>
      <c r="K700" s="320">
        <f>I700*IF(N('Термотрубка'!F63)&gt;0,N('Термотрубка'!F63),N('Термотрубка'!G63))</f>
        <v>0</v>
      </c>
      <c r="L700" s="320">
        <f>N(L699)+(N(I700)&gt;0)</f>
        <v>0</v>
      </c>
    </row>
    <row r="701">
      <c r="A701" s="321" t="inlineStr">
        <is>
          <t xml:space="preserve">Термотрубка</t>
        </is>
      </c>
      <c r="B701" s="314" t="str">
        <f>'Термотрубка'!A64&amp;""</f>
        <v>SAA-KIT 3,5-15/9.5</v>
      </c>
      <c r="C701" s="315" t="str">
        <f>'Термотрубка'!B64&amp;""</f>
        <v>Набор термоусадочных трубок, диаметр:3.5мм-15мм (нарезка 9,5см), В наборе 76 шт: Ø3.2mmx95mmx25шт;Ø4.8mmx95mmx20шт;Ø6.4mmx95mmx15шт;Ø7.9mmx95mmx8шт;Ø.5mmx95mmx5шт;Ø15mm-3шт, цвет: черный; с клеевым слоем</v>
      </c>
      <c r="D701" s="316" t="str">
        <f>IF('Термотрубка'!H64="+","есть",IF('Термотрубка'!H64="-","нет",""))</f>
        <v>есть</v>
      </c>
      <c r="E701" s="317"/>
      <c r="F701" s="318">
        <f>IF(N('Термотрубка'!G64)&lt;=0,"по запросу",CHOOSE($K$3,IF(N('Термотрубка'!E64)&gt;0,N('Термотрубка'!E64),N('Термотрубка'!G64)),IF(N('Термотрубка'!F64)&gt;0,N('Термотрубка'!F64),N('Термотрубка'!G64)),N('Термотрубка'!G64)))</f>
        <v>869.8</v>
      </c>
      <c r="G701" s="319" t="str">
        <f>IF(I701&lt;=0,"",IF(ISNUMBER(F701),I701*F701,"по запросу"))</f>
        <v/>
      </c>
      <c r="H701" s="320">
        <f>N('Термотрубка'!I64)</f>
        <v>0</v>
      </c>
      <c r="I701" s="320">
        <f>IF(N(E701)&gt;0,N(E701),H701)</f>
        <v>0</v>
      </c>
      <c r="J701" s="320">
        <f>I701*IF(N('Термотрубка'!E64)&gt;0,N('Термотрубка'!E64),N('Термотрубка'!G64))</f>
        <v>0</v>
      </c>
      <c r="K701" s="320">
        <f>I701*IF(N('Термотрубка'!F64)&gt;0,N('Термотрубка'!F64),N('Термотрубка'!G64))</f>
        <v>0</v>
      </c>
      <c r="L701" s="320">
        <f>N(L700)+(N(I701)&gt;0)</f>
        <v>0</v>
      </c>
    </row>
    <row r="702" ht="20" customHeight="1">
      <c r="A702" s="321" t="inlineStr">
        <is>
          <t xml:space="preserve">Термотрубка</t>
        </is>
      </c>
      <c r="B702" s="312" t="inlineStr">
        <is>
          <t xml:space="preserve">Термоусадочные изоляторы с припоем, коэффициент усадки 3:1, с клеевым слоем, 20шт.</t>
        </is>
      </c>
      <c r="L702" s="320">
        <f>N(L701)+(N(I702)&gt;0)</f>
        <v>0</v>
      </c>
    </row>
    <row r="703">
      <c r="A703" s="321" t="inlineStr">
        <is>
          <t xml:space="preserve">Термотрубка</t>
        </is>
      </c>
      <c r="B703" s="314" t="str">
        <f>'Термотрубка'!A66&amp;""</f>
        <v>SLD-1/2</v>
      </c>
      <c r="C703" s="315" t="str">
        <f>'Термотрубка'!B66&amp;""</f>
        <v>Прозрачный, D до усадки (min)= 1,7мм, D после усадки (max)= 0,6  мм; с клеевым слоем</v>
      </c>
      <c r="D703" s="316" t="str">
        <f>IF('Термотрубка'!H66="+","есть",IF('Термотрубка'!H66="-","нет",""))</f>
        <v>есть</v>
      </c>
      <c r="E703" s="317"/>
      <c r="F703" s="318">
        <f>IF(N('Термотрубка'!G66)&lt;=0,"по запросу",CHOOSE($K$3,IF(N('Термотрубка'!E66)&gt;0,N('Термотрубка'!E66),N('Термотрубка'!G66)),IF(N('Термотрубка'!F66)&gt;0,N('Термотрубка'!F66),N('Термотрубка'!G66)),N('Термотрубка'!G66)))</f>
        <v>549.7</v>
      </c>
      <c r="G703" s="319" t="str">
        <f>IF(I703&lt;=0,"",IF(ISNUMBER(F703),I703*F703,"по запросу"))</f>
        <v/>
      </c>
      <c r="H703" s="320">
        <f>N('Термотрубка'!I66)</f>
        <v>0</v>
      </c>
      <c r="I703" s="320">
        <f>IF(N(E703)&gt;0,N(E703),H703)</f>
        <v>0</v>
      </c>
      <c r="J703" s="320">
        <f>I703*IF(N('Термотрубка'!E66)&gt;0,N('Термотрубка'!E66),N('Термотрубка'!G66))</f>
        <v>0</v>
      </c>
      <c r="K703" s="320">
        <f>I703*IF(N('Термотрубка'!F66)&gt;0,N('Термотрубка'!F66),N('Термотрубка'!G66))</f>
        <v>0</v>
      </c>
      <c r="L703" s="320">
        <f>N(L702)+(N(I703)&gt;0)</f>
        <v>0</v>
      </c>
    </row>
    <row r="704">
      <c r="A704" s="321" t="inlineStr">
        <is>
          <t xml:space="preserve">Термотрубка</t>
        </is>
      </c>
      <c r="B704" s="314" t="str">
        <f>'Термотрубка'!A67&amp;""</f>
        <v>SLD-1</v>
      </c>
      <c r="C704" s="315" t="str">
        <f>'Термотрубка'!B67&amp;""</f>
        <v>Прозрачный, D до усадки (min)= 2,7мм, D после усадки (max)= 0,9  мм; с клеевым слоем</v>
      </c>
      <c r="D704" s="316" t="str">
        <f>IF('Термотрубка'!H67="+","есть",IF('Термотрубка'!H67="-","нет",""))</f>
        <v>есть</v>
      </c>
      <c r="E704" s="317"/>
      <c r="F704" s="318">
        <f>IF(N('Термотрубка'!G67)&lt;=0,"по запросу",CHOOSE($K$3,IF(N('Термотрубка'!E67)&gt;0,N('Термотрубка'!E67),N('Термотрубка'!G67)),IF(N('Термотрубка'!F67)&gt;0,N('Термотрубка'!F67),N('Термотрубка'!G67)),N('Термотрубка'!G67)))</f>
        <v>622.9</v>
      </c>
      <c r="G704" s="319" t="str">
        <f>IF(I704&lt;=0,"",IF(ISNUMBER(F704),I704*F704,"по запросу"))</f>
        <v/>
      </c>
      <c r="H704" s="320">
        <f>N('Термотрубка'!I67)</f>
        <v>0</v>
      </c>
      <c r="I704" s="320">
        <f>IF(N(E704)&gt;0,N(E704),H704)</f>
        <v>0</v>
      </c>
      <c r="J704" s="320">
        <f>I704*IF(N('Термотрубка'!E67)&gt;0,N('Термотрубка'!E67),N('Термотрубка'!G67))</f>
        <v>0</v>
      </c>
      <c r="K704" s="320">
        <f>I704*IF(N('Термотрубка'!F67)&gt;0,N('Термотрубка'!F67),N('Термотрубка'!G67))</f>
        <v>0</v>
      </c>
      <c r="L704" s="320">
        <f>N(L703)+(N(I704)&gt;0)</f>
        <v>0</v>
      </c>
    </row>
    <row r="705">
      <c r="A705" s="321" t="inlineStr">
        <is>
          <t xml:space="preserve">Термотрубка</t>
        </is>
      </c>
      <c r="B705" s="314" t="str">
        <f>'Термотрубка'!A68&amp;""</f>
        <v>SLD-2</v>
      </c>
      <c r="C705" s="315" t="str">
        <f>'Термотрубка'!B68&amp;""</f>
        <v>Прозрачный, D до усадки (min)= 4,5мм, D после усадки (max)= 1,5  мм; с клеевым слоем</v>
      </c>
      <c r="D705" s="316" t="str">
        <f>IF('Термотрубка'!H68="+","есть",IF('Термотрубка'!H68="-","нет",""))</f>
        <v>есть</v>
      </c>
      <c r="E705" s="317"/>
      <c r="F705" s="318">
        <f>IF(N('Термотрубка'!G68)&lt;=0,"по запросу",CHOOSE($K$3,IF(N('Термотрубка'!E68)&gt;0,N('Термотрубка'!E68),N('Термотрубка'!G68)),IF(N('Термотрубка'!F68)&gt;0,N('Термотрубка'!F68),N('Термотрубка'!G68)),N('Термотрубка'!G68)))</f>
        <v>680.2</v>
      </c>
      <c r="G705" s="319" t="str">
        <f>IF(I705&lt;=0,"",IF(ISNUMBER(F705),I705*F705,"по запросу"))</f>
        <v/>
      </c>
      <c r="H705" s="320">
        <f>N('Термотрубка'!I68)</f>
        <v>0</v>
      </c>
      <c r="I705" s="320">
        <f>IF(N(E705)&gt;0,N(E705),H705)</f>
        <v>0</v>
      </c>
      <c r="J705" s="320">
        <f>I705*IF(N('Термотрубка'!E68)&gt;0,N('Термотрубка'!E68),N('Термотрубка'!G68))</f>
        <v>0</v>
      </c>
      <c r="K705" s="320">
        <f>I705*IF(N('Термотрубка'!F68)&gt;0,N('Термотрубка'!F68),N('Термотрубка'!G68))</f>
        <v>0</v>
      </c>
      <c r="L705" s="320">
        <f>N(L704)+(N(I705)&gt;0)</f>
        <v>0</v>
      </c>
    </row>
    <row r="706">
      <c r="A706" s="321" t="inlineStr">
        <is>
          <t xml:space="preserve">Термотрубка</t>
        </is>
      </c>
      <c r="B706" s="314" t="str">
        <f>'Термотрубка'!A69&amp;""</f>
        <v>SLD-5</v>
      </c>
      <c r="C706" s="315" t="str">
        <f>'Термотрубка'!B69&amp;""</f>
        <v>Прозрачный, D до усадки (min)= 6,0мм, D после усадки (max)= 2,0  мм; с клеевым слоем</v>
      </c>
      <c r="D706" s="316" t="str">
        <f>IF('Термотрубка'!H69="+","есть",IF('Термотрубка'!H69="-","нет",""))</f>
        <v>есть</v>
      </c>
      <c r="E706" s="317"/>
      <c r="F706" s="318">
        <f>IF(N('Термотрубка'!G69)&lt;=0,"по запросу",CHOOSE($K$3,IF(N('Термотрубка'!E69)&gt;0,N('Термотрубка'!E69),N('Термотрубка'!G69)),IF(N('Термотрубка'!F69)&gt;0,N('Термотрубка'!F69),N('Термотрубка'!G69)),N('Термотрубка'!G69)))</f>
        <v>825.7</v>
      </c>
      <c r="G706" s="319" t="str">
        <f>IF(I706&lt;=0,"",IF(ISNUMBER(F706),I706*F706,"по запросу"))</f>
        <v/>
      </c>
      <c r="H706" s="320">
        <f>N('Термотрубка'!I69)</f>
        <v>0</v>
      </c>
      <c r="I706" s="320">
        <f>IF(N(E706)&gt;0,N(E706),H706)</f>
        <v>0</v>
      </c>
      <c r="J706" s="320">
        <f>I706*IF(N('Термотрубка'!E69)&gt;0,N('Термотрубка'!E69),N('Термотрубка'!G69))</f>
        <v>0</v>
      </c>
      <c r="K706" s="320">
        <f>I706*IF(N('Термотрубка'!F69)&gt;0,N('Термотрубка'!F69),N('Термотрубка'!G69))</f>
        <v>0</v>
      </c>
      <c r="L706" s="320">
        <f>N(L705)+(N(I706)&gt;0)</f>
        <v>0</v>
      </c>
    </row>
    <row r="707" ht="28" customHeight="1">
      <c r="A707" s="310" t="inlineStr">
        <is>
          <t xml:space="preserve">ДОП</t>
        </is>
      </c>
      <c r="B707" s="310"/>
      <c r="C707" s="310"/>
      <c r="D707" s="310"/>
      <c r="E707" s="310"/>
      <c r="F707" s="310"/>
      <c r="G707" s="310"/>
      <c r="L707" s="320">
        <f>N(L706)+(N(I707)&gt;0)</f>
        <v>0</v>
      </c>
    </row>
    <row r="708" ht="24" customHeight="1">
      <c r="A708" s="321" t="inlineStr">
        <is>
          <t xml:space="preserve">ДОП</t>
        </is>
      </c>
      <c r="B708" s="311" t="inlineStr">
        <is>
          <t xml:space="preserve">ЛЕНТЫ ТЕРМОСТОЙКИЕ</t>
        </is>
      </c>
      <c r="L708" s="320">
        <f>N(L707)+(N(I708)&gt;0)</f>
        <v>0</v>
      </c>
    </row>
    <row r="709">
      <c r="A709" s="321" t="inlineStr">
        <is>
          <t xml:space="preserve">ДОП</t>
        </is>
      </c>
      <c r="B709" s="314" t="str">
        <f>'ДОП'!A8&amp;""</f>
        <v>SST 3016 White</v>
      </c>
      <c r="C709" s="315" t="str">
        <f>'ДОП'!B8&amp;""</f>
        <v>термолента 30мм х 16м, белая</v>
      </c>
      <c r="D709" s="316" t="str">
        <f>IF('ДОП'!H8="+","есть",IF('ДОП'!H8="-","нет",""))</f>
        <v>есть</v>
      </c>
      <c r="E709" s="317"/>
      <c r="F709" s="318">
        <f>IF(N('ДОП'!G8)&lt;=0,"по запросу",CHOOSE($K$3,IF(N('ДОП'!E8)&gt;0,N('ДОП'!E8),N('ДОП'!G8)),IF(N('ДОП'!F8)&gt;0,N('ДОП'!F8),N('ДОП'!G8)),N('ДОП'!G8)))</f>
        <v>888.6</v>
      </c>
      <c r="G709" s="319" t="str">
        <f>IF(I709&lt;=0,"",IF(ISNUMBER(F709),I709*F709,"по запросу"))</f>
        <v/>
      </c>
      <c r="H709" s="320">
        <f>N('ДОП'!I8)</f>
        <v>0</v>
      </c>
      <c r="I709" s="320">
        <f>IF(N(E709)&gt;0,N(E709),H709)</f>
        <v>0</v>
      </c>
      <c r="J709" s="320">
        <f>I709*IF(N('ДОП'!E8)&gt;0,N('ДОП'!E8),N('ДОП'!G8))</f>
        <v>0</v>
      </c>
      <c r="K709" s="320">
        <f>I709*IF(N('ДОП'!F8)&gt;0,N('ДОП'!F8),N('ДОП'!G8))</f>
        <v>0</v>
      </c>
      <c r="L709" s="320">
        <f>N(L708)+(N(I709)&gt;0)</f>
        <v>0</v>
      </c>
    </row>
    <row r="710">
      <c r="A710" s="321" t="inlineStr">
        <is>
          <t xml:space="preserve">ДОП</t>
        </is>
      </c>
      <c r="B710" s="314" t="str">
        <f>'ДОП'!A9&amp;""</f>
        <v>SST 3016 Black</v>
      </c>
      <c r="C710" s="315" t="str">
        <f>'ДОП'!B9&amp;""</f>
        <v>термолента 30мм х 16м, черная</v>
      </c>
      <c r="D710" s="316" t="str">
        <f>IF('ДОП'!H9="+","есть",IF('ДОП'!H9="-","нет",""))</f>
        <v>есть</v>
      </c>
      <c r="E710" s="317"/>
      <c r="F710" s="318">
        <f>IF(N('ДОП'!G9)&lt;=0,"по запросу",CHOOSE($K$3,IF(N('ДОП'!E9)&gt;0,N('ДОП'!E9),N('ДОП'!G9)),IF(N('ДОП'!F9)&gt;0,N('ДОП'!F9),N('ДОП'!G9)),N('ДОП'!G9)))</f>
        <v>888.6</v>
      </c>
      <c r="G710" s="319" t="str">
        <f>IF(I710&lt;=0,"",IF(ISNUMBER(F710),I710*F710,"по запросу"))</f>
        <v/>
      </c>
      <c r="H710" s="320">
        <f>N('ДОП'!I9)</f>
        <v>0</v>
      </c>
      <c r="I710" s="320">
        <f>IF(N(E710)&gt;0,N(E710),H710)</f>
        <v>0</v>
      </c>
      <c r="J710" s="320">
        <f>I710*IF(N('ДОП'!E9)&gt;0,N('ДОП'!E9),N('ДОП'!G9))</f>
        <v>0</v>
      </c>
      <c r="K710" s="320">
        <f>I710*IF(N('ДОП'!F9)&gt;0,N('ДОП'!F9),N('ДОП'!G9))</f>
        <v>0</v>
      </c>
      <c r="L710" s="320">
        <f>N(L709)+(N(I710)&gt;0)</f>
        <v>0</v>
      </c>
    </row>
    <row r="711">
      <c r="A711" s="321" t="inlineStr">
        <is>
          <t xml:space="preserve">ДОП</t>
        </is>
      </c>
      <c r="B711" s="314" t="str">
        <f>'ДОП'!A10&amp;""</f>
        <v>SST CARBON 3016</v>
      </c>
      <c r="C711" s="315" t="str">
        <f>'ДОП'!B10&amp;""</f>
        <v>термолента CARBON 30мм х 16м</v>
      </c>
      <c r="D711" s="316" t="str">
        <f>IF('ДОП'!H10="+","есть",IF('ДОП'!H10="-","нет",""))</f>
        <v>есть</v>
      </c>
      <c r="E711" s="317"/>
      <c r="F711" s="318">
        <f>IF(N('ДОП'!G10)&lt;=0,"по запросу",CHOOSE($K$3,IF(N('ДОП'!E10)&gt;0,N('ДОП'!E10),N('ДОП'!G10)),IF(N('ДОП'!F10)&gt;0,N('ДОП'!F10),N('ДОП'!G10)),N('ДОП'!G10)))</f>
        <v>1088.1</v>
      </c>
      <c r="G711" s="319" t="str">
        <f>IF(I711&lt;=0,"",IF(ISNUMBER(F711),I711*F711,"по запросу"))</f>
        <v/>
      </c>
      <c r="H711" s="320">
        <f>N('ДОП'!I10)</f>
        <v>0</v>
      </c>
      <c r="I711" s="320">
        <f>IF(N(E711)&gt;0,N(E711),H711)</f>
        <v>0</v>
      </c>
      <c r="J711" s="320">
        <f>I711*IF(N('ДОП'!E10)&gt;0,N('ДОП'!E10),N('ДОП'!G10))</f>
        <v>0</v>
      </c>
      <c r="K711" s="320">
        <f>I711*IF(N('ДОП'!F10)&gt;0,N('ДОП'!F10),N('ДОП'!G10))</f>
        <v>0</v>
      </c>
      <c r="L711" s="320">
        <f>N(L710)+(N(I711)&gt;0)</f>
        <v>0</v>
      </c>
    </row>
    <row r="712" ht="24" customHeight="1">
      <c r="A712" s="321" t="inlineStr">
        <is>
          <t xml:space="preserve">ДОП</t>
        </is>
      </c>
      <c r="B712" s="311" t="inlineStr">
        <is>
          <t xml:space="preserve">ПЕРЕХОДНИКИ ДВЕРНЫЕ</t>
        </is>
      </c>
      <c r="L712" s="320">
        <f>N(L711)+(N(I712)&gt;0)</f>
        <v>0</v>
      </c>
    </row>
    <row r="713">
      <c r="A713" s="321" t="inlineStr">
        <is>
          <t xml:space="preserve">ДОП</t>
        </is>
      </c>
      <c r="B713" s="314" t="str">
        <f>'ДОП'!A12&amp;""</f>
        <v>AQM 46</v>
      </c>
      <c r="C713" s="315" t="str">
        <f>'ДОП'!B12&amp;""</f>
        <v>Гофрированная трубка для проводки прямая, диам. 10мм</v>
      </c>
      <c r="D713" s="316" t="str">
        <f>IF('ДОП'!H12="+","есть",IF('ДОП'!H12="-","нет",""))</f>
        <v>есть</v>
      </c>
      <c r="E713" s="317"/>
      <c r="F713" s="318">
        <f>IF(N('ДОП'!G12)&lt;=0,"по запросу",CHOOSE($K$3,IF(N('ДОП'!E12)&gt;0,N('ДОП'!E12),N('ДОП'!G12)),IF(N('ДОП'!F12)&gt;0,N('ДОП'!F12),N('ДОП'!G12)),N('ДОП'!G12)))</f>
        <v>48.1</v>
      </c>
      <c r="G713" s="319" t="str">
        <f>IF(I713&lt;=0,"",IF(ISNUMBER(F713),I713*F713,"по запросу"))</f>
        <v/>
      </c>
      <c r="H713" s="320">
        <f>N('ДОП'!I12)</f>
        <v>0</v>
      </c>
      <c r="I713" s="320">
        <f>IF(N(E713)&gt;0,N(E713),H713)</f>
        <v>0</v>
      </c>
      <c r="J713" s="320">
        <f>I713*IF(N('ДОП'!E12)&gt;0,N('ДОП'!E12),N('ДОП'!G12))</f>
        <v>0</v>
      </c>
      <c r="K713" s="320">
        <f>I713*IF(N('ДОП'!F12)&gt;0,N('ДОП'!F12),N('ДОП'!G12))</f>
        <v>0</v>
      </c>
      <c r="L713" s="320">
        <f>N(L712)+(N(I713)&gt;0)</f>
        <v>0</v>
      </c>
    </row>
    <row r="714">
      <c r="A714" s="321" t="inlineStr">
        <is>
          <t xml:space="preserve">ДОП</t>
        </is>
      </c>
      <c r="B714" s="314" t="str">
        <f>'ДОП'!A13&amp;""</f>
        <v>AQM 46(S)(тонкая)</v>
      </c>
      <c r="C714" s="315" t="str">
        <f>'ДОП'!B13&amp;""</f>
        <v>Гофрированная трубка, S-образная, 10 мм.</v>
      </c>
      <c r="D714" s="316" t="str">
        <f>IF('ДОП'!H13="+","есть",IF('ДОП'!H13="-","нет",""))</f>
        <v>есть</v>
      </c>
      <c r="E714" s="317"/>
      <c r="F714" s="318">
        <f>IF(N('ДОП'!G13)&lt;=0,"по запросу",CHOOSE($K$3,IF(N('ДОП'!E13)&gt;0,N('ДОП'!E13),N('ДОП'!G13)),IF(N('ДОП'!F13)&gt;0,N('ДОП'!F13),N('ДОП'!G13)),N('ДОП'!G13)))</f>
        <v>51.9</v>
      </c>
      <c r="G714" s="319" t="str">
        <f>IF(I714&lt;=0,"",IF(ISNUMBER(F714),I714*F714,"по запросу"))</f>
        <v/>
      </c>
      <c r="H714" s="320">
        <f>N('ДОП'!I13)</f>
        <v>0</v>
      </c>
      <c r="I714" s="320">
        <f>IF(N(E714)&gt;0,N(E714),H714)</f>
        <v>0</v>
      </c>
      <c r="J714" s="320">
        <f>I714*IF(N('ДОП'!E13)&gt;0,N('ДОП'!E13),N('ДОП'!G13))</f>
        <v>0</v>
      </c>
      <c r="K714" s="320">
        <f>I714*IF(N('ДОП'!F13)&gt;0,N('ДОП'!F13),N('ДОП'!G13))</f>
        <v>0</v>
      </c>
      <c r="L714" s="320">
        <f>N(L713)+(N(I714)&gt;0)</f>
        <v>0</v>
      </c>
    </row>
    <row r="715">
      <c r="A715" s="321" t="inlineStr">
        <is>
          <t xml:space="preserve">ДОП</t>
        </is>
      </c>
      <c r="B715" s="314" t="str">
        <f>'ДОП'!A14&amp;""</f>
        <v>AQM 47(7)</v>
      </c>
      <c r="C715" s="315" t="str">
        <f>'ДОП'!B14&amp;""</f>
        <v>Прямая трубка, диам.7мм.</v>
      </c>
      <c r="D715" s="316" t="str">
        <f>IF('ДОП'!H14="+","есть",IF('ДОП'!H14="-","нет",""))</f>
        <v>есть</v>
      </c>
      <c r="E715" s="317"/>
      <c r="F715" s="318">
        <f>IF(N('ДОП'!G14)&lt;=0,"по запросу",CHOOSE($K$3,IF(N('ДОП'!E14)&gt;0,N('ДОП'!E14),N('ДОП'!G14)),IF(N('ДОП'!F14)&gt;0,N('ДОП'!F14),N('ДОП'!G14)),N('ДОП'!G14)))</f>
        <v>43.2</v>
      </c>
      <c r="G715" s="319" t="str">
        <f>IF(I715&lt;=0,"",IF(ISNUMBER(F715),I715*F715,"по запросу"))</f>
        <v/>
      </c>
      <c r="H715" s="320">
        <f>N('ДОП'!I14)</f>
        <v>0</v>
      </c>
      <c r="I715" s="320">
        <f>IF(N(E715)&gt;0,N(E715),H715)</f>
        <v>0</v>
      </c>
      <c r="J715" s="320">
        <f>I715*IF(N('ДОП'!E14)&gt;0,N('ДОП'!E14),N('ДОП'!G14))</f>
        <v>0</v>
      </c>
      <c r="K715" s="320">
        <f>I715*IF(N('ДОП'!F14)&gt;0,N('ДОП'!F14),N('ДОП'!G14))</f>
        <v>0</v>
      </c>
      <c r="L715" s="320">
        <f>N(L714)+(N(I715)&gt;0)</f>
        <v>0</v>
      </c>
    </row>
    <row r="716">
      <c r="A716" s="321" t="inlineStr">
        <is>
          <t xml:space="preserve">ДОП</t>
        </is>
      </c>
      <c r="B716" s="314" t="str">
        <f>'ДОП'!A15&amp;""</f>
        <v>AQM 47(9)</v>
      </c>
      <c r="C716" s="315" t="str">
        <f>'ДОП'!B15&amp;""</f>
        <v>Прямая трубка, диам.9мм.</v>
      </c>
      <c r="D716" s="316" t="str">
        <f>IF('ДОП'!H15="+","есть",IF('ДОП'!H15="-","нет",""))</f>
        <v>есть</v>
      </c>
      <c r="E716" s="317"/>
      <c r="F716" s="318">
        <f>IF(N('ДОП'!G15)&lt;=0,"по запросу",CHOOSE($K$3,IF(N('ДОП'!E15)&gt;0,N('ДОП'!E15),N('ДОП'!G15)),IF(N('ДОП'!F15)&gt;0,N('ДОП'!F15),N('ДОП'!G15)),N('ДОП'!G15)))</f>
        <v>51.9</v>
      </c>
      <c r="G716" s="319" t="str">
        <f>IF(I716&lt;=0,"",IF(ISNUMBER(F716),I716*F716,"по запросу"))</f>
        <v/>
      </c>
      <c r="H716" s="320">
        <f>N('ДОП'!I15)</f>
        <v>0</v>
      </c>
      <c r="I716" s="320">
        <f>IF(N(E716)&gt;0,N(E716),H716)</f>
        <v>0</v>
      </c>
      <c r="J716" s="320">
        <f>I716*IF(N('ДОП'!E15)&gt;0,N('ДОП'!E15),N('ДОП'!G15))</f>
        <v>0</v>
      </c>
      <c r="K716" s="320">
        <f>I716*IF(N('ДОП'!F15)&gt;0,N('ДОП'!F15),N('ДОП'!G15))</f>
        <v>0</v>
      </c>
      <c r="L716" s="320">
        <f>N(L715)+(N(I716)&gt;0)</f>
        <v>0</v>
      </c>
    </row>
    <row r="717">
      <c r="A717" s="321" t="inlineStr">
        <is>
          <t xml:space="preserve">ДОП</t>
        </is>
      </c>
      <c r="B717" s="314" t="str">
        <f>'ДОП'!A16&amp;""</f>
        <v>AQM 80S</v>
      </c>
      <c r="C717" s="315" t="str">
        <f>'ДОП'!B16&amp;""</f>
        <v>S-образная, диам.20мм. В штатное место передних дверей ВАЗ-2109</v>
      </c>
      <c r="D717" s="316" t="str">
        <f>IF('ДОП'!H16="+","есть",IF('ДОП'!H16="-","нет",""))</f>
        <v>есть</v>
      </c>
      <c r="E717" s="317"/>
      <c r="F717" s="318">
        <f>IF(N('ДОП'!G16)&lt;=0,"по запросу",CHOOSE($K$3,IF(N('ДОП'!E16)&gt;0,N('ДОП'!E16),N('ДОП'!G16)),IF(N('ДОП'!F16)&gt;0,N('ДОП'!F16),N('ДОП'!G16)),N('ДОП'!G16)))</f>
        <v>107.9</v>
      </c>
      <c r="G717" s="319" t="str">
        <f>IF(I717&lt;=0,"",IF(ISNUMBER(F717),I717*F717,"по запросу"))</f>
        <v/>
      </c>
      <c r="H717" s="320">
        <f>N('ДОП'!I16)</f>
        <v>0</v>
      </c>
      <c r="I717" s="320">
        <f>IF(N(E717)&gt;0,N(E717),H717)</f>
        <v>0</v>
      </c>
      <c r="J717" s="320">
        <f>I717*IF(N('ДОП'!E16)&gt;0,N('ДОП'!E16),N('ДОП'!G16))</f>
        <v>0</v>
      </c>
      <c r="K717" s="320">
        <f>I717*IF(N('ДОП'!F16)&gt;0,N('ДОП'!F16),N('ДОП'!G16))</f>
        <v>0</v>
      </c>
      <c r="L717" s="320">
        <f>N(L716)+(N(I717)&gt;0)</f>
        <v>0</v>
      </c>
    </row>
    <row r="718">
      <c r="A718" s="321" t="inlineStr">
        <is>
          <t xml:space="preserve">ДОП</t>
        </is>
      </c>
      <c r="B718" s="314" t="str">
        <f>'ДОП'!A17&amp;""</f>
        <v>AQM 89</v>
      </c>
      <c r="C718" s="315" t="str">
        <f>'ДОП'!B17&amp;""</f>
        <v>трубка гофрированная косая внутренний диаметр 20 мм  (в штатное место задних дверей ВАЗ-21099,2115)</v>
      </c>
      <c r="D718" s="316" t="str">
        <f>IF('ДОП'!H17="+","есть",IF('ДОП'!H17="-","нет",""))</f>
        <v>есть</v>
      </c>
      <c r="E718" s="317"/>
      <c r="F718" s="318">
        <f>IF(N('ДОП'!G17)&lt;=0,"по запросу",CHOOSE($K$3,IF(N('ДОП'!E17)&gt;0,N('ДОП'!E17),N('ДОП'!G17)),IF(N('ДОП'!F17)&gt;0,N('ДОП'!F17),N('ДОП'!G17)),N('ДОП'!G17)))</f>
        <v>54.5</v>
      </c>
      <c r="G718" s="319" t="str">
        <f>IF(I718&lt;=0,"",IF(ISNUMBER(F718),I718*F718,"по запросу"))</f>
        <v/>
      </c>
      <c r="H718" s="320">
        <f>N('ДОП'!I17)</f>
        <v>0</v>
      </c>
      <c r="I718" s="320">
        <f>IF(N(E718)&gt;0,N(E718),H718)</f>
        <v>0</v>
      </c>
      <c r="J718" s="320">
        <f>I718*IF(N('ДОП'!E17)&gt;0,N('ДОП'!E17),N('ДОП'!G17))</f>
        <v>0</v>
      </c>
      <c r="K718" s="320">
        <f>I718*IF(N('ДОП'!F17)&gt;0,N('ДОП'!F17),N('ДОП'!G17))</f>
        <v>0</v>
      </c>
      <c r="L718" s="320">
        <f>N(L717)+(N(I718)&gt;0)</f>
        <v>0</v>
      </c>
    </row>
    <row r="719">
      <c r="A719" s="321" t="inlineStr">
        <is>
          <t xml:space="preserve">ДОП</t>
        </is>
      </c>
      <c r="B719" s="314" t="str">
        <f>'ДОП'!A18&amp;""</f>
        <v>AQM 90</v>
      </c>
      <c r="C719" s="315" t="str">
        <f>'ДОП'!B18&amp;""</f>
        <v>Трубка гофрированная в штатные места передних и задних дверей на Lada Largus, РЕНО-Логан, Сандеро, Дастер, Ниссан-Террано (для некоторых моделей нужна дополнительная втулка AQM 91, для "Лада-Ларгус" втулка не требуется)</v>
      </c>
      <c r="D719" s="316" t="str">
        <f>IF('ДОП'!H18="+","есть",IF('ДОП'!H18="-","нет",""))</f>
        <v>есть</v>
      </c>
      <c r="E719" s="317"/>
      <c r="F719" s="318">
        <f>IF(N('ДОП'!G18)&lt;=0,"по запросу",CHOOSE($K$3,IF(N('ДОП'!E18)&gt;0,N('ДОП'!E18),N('ДОП'!G18)),IF(N('ДОП'!F18)&gt;0,N('ДОП'!F18),N('ДОП'!G18)),N('ДОП'!G18)))</f>
        <v>145.7</v>
      </c>
      <c r="G719" s="319" t="str">
        <f>IF(I719&lt;=0,"",IF(ISNUMBER(F719),I719*F719,"по запросу"))</f>
        <v/>
      </c>
      <c r="H719" s="320">
        <f>N('ДОП'!I18)</f>
        <v>0</v>
      </c>
      <c r="I719" s="320">
        <f>IF(N(E719)&gt;0,N(E719),H719)</f>
        <v>0</v>
      </c>
      <c r="J719" s="320">
        <f>I719*IF(N('ДОП'!E18)&gt;0,N('ДОП'!E18),N('ДОП'!G18))</f>
        <v>0</v>
      </c>
      <c r="K719" s="320">
        <f>I719*IF(N('ДОП'!F18)&gt;0,N('ДОП'!F18),N('ДОП'!G18))</f>
        <v>0</v>
      </c>
      <c r="L719" s="320">
        <f>N(L718)+(N(I719)&gt;0)</f>
        <v>0</v>
      </c>
    </row>
    <row r="720">
      <c r="A720" s="321" t="inlineStr">
        <is>
          <t xml:space="preserve">ДОП</t>
        </is>
      </c>
      <c r="B720" s="314" t="str">
        <f>'ДОП'!A19&amp;""</f>
        <v>AQM 91</v>
      </c>
      <c r="C720" s="315" t="str">
        <f>'ДОП'!B19&amp;""</f>
        <v>Площадка для AQM 90 (в штатные места передних и задних дверей на РЕНО-Логан и РЕНО-Сандеро)</v>
      </c>
      <c r="D720" s="316" t="str">
        <f>IF('ДОП'!H19="+","есть",IF('ДОП'!H19="-","нет",""))</f>
        <v>есть</v>
      </c>
      <c r="E720" s="317"/>
      <c r="F720" s="318">
        <f>IF(N('ДОП'!G19)&lt;=0,"по запросу",CHOOSE($K$3,IF(N('ДОП'!E19)&gt;0,N('ДОП'!E19),N('ДОП'!G19)),IF(N('ДОП'!F19)&gt;0,N('ДОП'!F19),N('ДОП'!G19)),N('ДОП'!G19)))</f>
        <v>52.2</v>
      </c>
      <c r="G720" s="319" t="str">
        <f>IF(I720&lt;=0,"",IF(ISNUMBER(F720),I720*F720,"по запросу"))</f>
        <v/>
      </c>
      <c r="H720" s="320">
        <f>N('ДОП'!I19)</f>
        <v>0</v>
      </c>
      <c r="I720" s="320">
        <f>IF(N(E720)&gt;0,N(E720),H720)</f>
        <v>0</v>
      </c>
      <c r="J720" s="320">
        <f>I720*IF(N('ДОП'!E19)&gt;0,N('ДОП'!E19),N('ДОП'!G19))</f>
        <v>0</v>
      </c>
      <c r="K720" s="320">
        <f>I720*IF(N('ДОП'!F19)&gt;0,N('ДОП'!F19),N('ДОП'!G19))</f>
        <v>0</v>
      </c>
      <c r="L720" s="320">
        <f>N(L719)+(N(I720)&gt;0)</f>
        <v>0</v>
      </c>
    </row>
    <row r="721">
      <c r="A721" s="321" t="inlineStr">
        <is>
          <t xml:space="preserve">ДОП</t>
        </is>
      </c>
      <c r="B721" s="314" t="str">
        <f>'ДОП'!A20&amp;""</f>
        <v>AQM 108</v>
      </c>
      <c r="C721" s="315" t="str">
        <f>'ДОП'!B20&amp;""</f>
        <v>Колпачок защитный для Лада-Гранта, Ниссан-Датсун</v>
      </c>
      <c r="D721" s="316" t="str">
        <f>IF('ДОП'!H20="+","есть",IF('ДОП'!H20="-","нет",""))</f>
        <v>есть</v>
      </c>
      <c r="E721" s="317"/>
      <c r="F721" s="318">
        <f>IF(N('ДОП'!G20)&lt;=0,"по запросу",CHOOSE($K$3,IF(N('ДОП'!E20)&gt;0,N('ДОП'!E20),N('ДОП'!G20)),IF(N('ДОП'!F20)&gt;0,N('ДОП'!F20),N('ДОП'!G20)),N('ДОП'!G20)))</f>
        <v>35.9</v>
      </c>
      <c r="G721" s="319" t="str">
        <f>IF(I721&lt;=0,"",IF(ISNUMBER(F721),I721*F721,"по запросу"))</f>
        <v/>
      </c>
      <c r="H721" s="320">
        <f>N('ДОП'!I20)</f>
        <v>0</v>
      </c>
      <c r="I721" s="320">
        <f>IF(N(E721)&gt;0,N(E721),H721)</f>
        <v>0</v>
      </c>
      <c r="J721" s="320">
        <f>I721*IF(N('ДОП'!E20)&gt;0,N('ДОП'!E20),N('ДОП'!G20))</f>
        <v>0</v>
      </c>
      <c r="K721" s="320">
        <f>I721*IF(N('ДОП'!F20)&gt;0,N('ДОП'!F20),N('ДОП'!G20))</f>
        <v>0</v>
      </c>
      <c r="L721" s="320">
        <f>N(L720)+(N(I721)&gt;0)</f>
        <v>0</v>
      </c>
    </row>
    <row r="722">
      <c r="A722" s="321" t="inlineStr">
        <is>
          <t xml:space="preserve">ДОП</t>
        </is>
      </c>
      <c r="B722" s="314" t="str">
        <f>'ДОП'!A21&amp;""</f>
        <v>AQM 109</v>
      </c>
      <c r="C722" s="315" t="str">
        <f>'ДОП'!B21&amp;""</f>
        <v>Чехол защитный для Лада-Гранта, Ниссан-Датсун</v>
      </c>
      <c r="D722" s="316" t="str">
        <f>IF('ДОП'!H21="+","есть",IF('ДОП'!H21="-","нет",""))</f>
        <v>есть</v>
      </c>
      <c r="E722" s="317"/>
      <c r="F722" s="318">
        <f>IF(N('ДОП'!G21)&lt;=0,"по запросу",CHOOSE($K$3,IF(N('ДОП'!E21)&gt;0,N('ДОП'!E21),N('ДОП'!G21)),IF(N('ДОП'!F21)&gt;0,N('ДОП'!F21),N('ДОП'!G21)),N('ДОП'!G21)))</f>
        <v>112.6</v>
      </c>
      <c r="G722" s="319" t="str">
        <f>IF(I722&lt;=0,"",IF(ISNUMBER(F722),I722*F722,"по запросу"))</f>
        <v/>
      </c>
      <c r="H722" s="320">
        <f>N('ДОП'!I21)</f>
        <v>0</v>
      </c>
      <c r="I722" s="320">
        <f>IF(N(E722)&gt;0,N(E722),H722)</f>
        <v>0</v>
      </c>
      <c r="J722" s="320">
        <f>I722*IF(N('ДОП'!E21)&gt;0,N('ДОП'!E21),N('ДОП'!G21))</f>
        <v>0</v>
      </c>
      <c r="K722" s="320">
        <f>I722*IF(N('ДОП'!F21)&gt;0,N('ДОП'!F21),N('ДОП'!G21))</f>
        <v>0</v>
      </c>
      <c r="L722" s="320">
        <f>N(L721)+(N(I722)&gt;0)</f>
        <v>0</v>
      </c>
    </row>
    <row r="723">
      <c r="A723" s="321" t="inlineStr">
        <is>
          <t xml:space="preserve">ДОП</t>
        </is>
      </c>
      <c r="B723" s="314" t="str">
        <f>'ДОП'!A22&amp;""</f>
        <v>AQM 110</v>
      </c>
      <c r="C723" s="315" t="str">
        <f>'ДОП'!B22&amp;""</f>
        <v>Втулка для совмещения AQM 108 и AQM 109, для Лада-Гранта, Ниссан-Датсун</v>
      </c>
      <c r="D723" s="316" t="str">
        <f>IF('ДОП'!H22="+","есть",IF('ДОП'!H22="-","нет",""))</f>
        <v>есть</v>
      </c>
      <c r="E723" s="317"/>
      <c r="F723" s="318">
        <f>IF(N('ДОП'!G22)&lt;=0,"по запросу",CHOOSE($K$3,IF(N('ДОП'!E22)&gt;0,N('ДОП'!E22),N('ДОП'!G22)),IF(N('ДОП'!F22)&gt;0,N('ДОП'!F22),N('ДОП'!G22)),N('ДОП'!G22)))</f>
        <v>98.8</v>
      </c>
      <c r="G723" s="319" t="str">
        <f>IF(I723&lt;=0,"",IF(ISNUMBER(F723),I723*F723,"по запросу"))</f>
        <v/>
      </c>
      <c r="H723" s="320">
        <f>N('ДОП'!I22)</f>
        <v>0</v>
      </c>
      <c r="I723" s="320">
        <f>IF(N(E723)&gt;0,N(E723),H723)</f>
        <v>0</v>
      </c>
      <c r="J723" s="320">
        <f>I723*IF(N('ДОП'!E22)&gt;0,N('ДОП'!E22),N('ДОП'!G22))</f>
        <v>0</v>
      </c>
      <c r="K723" s="320">
        <f>I723*IF(N('ДОП'!F22)&gt;0,N('ДОП'!F22),N('ДОП'!G22))</f>
        <v>0</v>
      </c>
      <c r="L723" s="320">
        <f>N(L722)+(N(I723)&gt;0)</f>
        <v>0</v>
      </c>
    </row>
    <row r="724">
      <c r="A724" s="321" t="inlineStr">
        <is>
          <t xml:space="preserve">ДОП</t>
        </is>
      </c>
      <c r="B724" s="314" t="str">
        <f>'ДОП'!A23&amp;""</f>
        <v>AQM 108/09/10</v>
      </c>
      <c r="C724" s="315" t="str">
        <f>'ДОП'!B23&amp;""</f>
        <v>Переходник для Лада Гранта в сборе(AQM 108+AQM 109+AQM 110)</v>
      </c>
      <c r="D724" s="316" t="str">
        <f>IF('ДОП'!H23="+","есть",IF('ДОП'!H23="-","нет",""))</f>
        <v>есть</v>
      </c>
      <c r="E724" s="317"/>
      <c r="F724" s="318">
        <f>IF(N('ДОП'!G23)&lt;=0,"по запросу",CHOOSE($K$3,IF(N('ДОП'!E23)&gt;0,N('ДОП'!E23),N('ДОП'!G23)),IF(N('ДОП'!F23)&gt;0,N('ДОП'!F23),N('ДОП'!G23)),N('ДОП'!G23)))</f>
        <v>344.3</v>
      </c>
      <c r="G724" s="319" t="str">
        <f>IF(I724&lt;=0,"",IF(ISNUMBER(F724),I724*F724,"по запросу"))</f>
        <v/>
      </c>
      <c r="H724" s="320">
        <f>N('ДОП'!I23)</f>
        <v>0</v>
      </c>
      <c r="I724" s="320">
        <f>IF(N(E724)&gt;0,N(E724),H724)</f>
        <v>0</v>
      </c>
      <c r="J724" s="320">
        <f>I724*IF(N('ДОП'!E23)&gt;0,N('ДОП'!E23),N('ДОП'!G23))</f>
        <v>0</v>
      </c>
      <c r="K724" s="320">
        <f>I724*IF(N('ДОП'!F23)&gt;0,N('ДОП'!F23),N('ДОП'!G23))</f>
        <v>0</v>
      </c>
      <c r="L724" s="320">
        <f>N(L723)+(N(I724)&gt;0)</f>
        <v>0</v>
      </c>
    </row>
    <row r="725" ht="24" customHeight="1">
      <c r="A725" s="321" t="inlineStr">
        <is>
          <t xml:space="preserve">ДОП</t>
        </is>
      </c>
      <c r="B725" s="311" t="inlineStr">
        <is>
          <t xml:space="preserve">МОНТАЖНЫЙ ИНСТРУМЕНТ</t>
        </is>
      </c>
      <c r="L725" s="320">
        <f>N(L724)+(N(I725)&gt;0)</f>
        <v>0</v>
      </c>
    </row>
    <row r="726" ht="20" customHeight="1">
      <c r="A726" s="321" t="inlineStr">
        <is>
          <t xml:space="preserve">ДОП</t>
        </is>
      </c>
      <c r="B726" s="312" t="inlineStr">
        <is>
          <t xml:space="preserve">Пробники:</t>
        </is>
      </c>
      <c r="L726" s="320">
        <f>N(L725)+(N(I726)&gt;0)</f>
        <v>0</v>
      </c>
    </row>
    <row r="727">
      <c r="A727" s="321" t="inlineStr">
        <is>
          <t xml:space="preserve">ДОП</t>
        </is>
      </c>
      <c r="B727" s="314" t="str">
        <f>'ДОП'!A26&amp;""</f>
        <v>LY AT 10</v>
      </c>
      <c r="C727" s="315" t="str">
        <f>'ДОП'!B26&amp;""</f>
        <v>пробник 6; 12; 24В</v>
      </c>
      <c r="D727" s="316" t="str">
        <f>IF('ДОП'!H26="+","есть",IF('ДОП'!H26="-","нет",""))</f>
        <v>нет</v>
      </c>
      <c r="E727" s="317"/>
      <c r="F727" s="318">
        <f>IF(N('ДОП'!G26)&lt;=0,"по запросу",CHOOSE($K$3,IF(N('ДОП'!E26)&gt;0,N('ДОП'!E26),N('ДОП'!G26)),IF(N('ДОП'!F26)&gt;0,N('ДОП'!F26),N('ДОП'!G26)),N('ДОП'!G26)))</f>
        <v>500</v>
      </c>
      <c r="G727" s="319" t="str">
        <f>IF(I727&lt;=0,"",IF(ISNUMBER(F727),I727*F727,"по запросу"))</f>
        <v/>
      </c>
      <c r="H727" s="320">
        <f>N('ДОП'!I26)</f>
        <v>0</v>
      </c>
      <c r="I727" s="320">
        <f>IF(N(E727)&gt;0,N(E727),H727)</f>
        <v>0</v>
      </c>
      <c r="J727" s="320">
        <f>I727*IF(N('ДОП'!E26)&gt;0,N('ДОП'!E26),N('ДОП'!G26))</f>
        <v>0</v>
      </c>
      <c r="K727" s="320">
        <f>I727*IF(N('ДОП'!F26)&gt;0,N('ДОП'!F26),N('ДОП'!G26))</f>
        <v>0</v>
      </c>
      <c r="L727" s="320">
        <f>N(L726)+(N(I727)&gt;0)</f>
        <v>0</v>
      </c>
    </row>
    <row r="728" ht="20" customHeight="1">
      <c r="A728" s="321" t="inlineStr">
        <is>
          <t xml:space="preserve">ДОП</t>
        </is>
      </c>
      <c r="B728" s="312" t="inlineStr">
        <is>
          <t xml:space="preserve">Инструмент для снятия изоляции:</t>
        </is>
      </c>
      <c r="L728" s="320">
        <f>N(L727)+(N(I728)&gt;0)</f>
        <v>0</v>
      </c>
    </row>
    <row r="729">
      <c r="A729" s="321" t="inlineStr">
        <is>
          <t xml:space="preserve">ДОП</t>
        </is>
      </c>
      <c r="B729" s="314" t="str">
        <f>'ДОП'!A28&amp;""</f>
        <v>LY-6261</v>
      </c>
      <c r="C729" s="315" t="str">
        <f>'ДОП'!B28&amp;""</f>
        <v>эргономичные ручки AWG 22-6</v>
      </c>
      <c r="D729" s="316" t="str">
        <f>IF('ДОП'!H28="+","есть",IF('ДОП'!H28="-","нет",""))</f>
        <v>есть</v>
      </c>
      <c r="E729" s="317"/>
      <c r="F729" s="318">
        <f>IF(N('ДОП'!G28)&lt;=0,"по запросу",CHOOSE($K$3,IF(N('ДОП'!E28)&gt;0,N('ДОП'!E28),N('ДОП'!G28)),IF(N('ДОП'!F28)&gt;0,N('ДОП'!F28),N('ДОП'!G28)),N('ДОП'!G28)))</f>
        <v>200</v>
      </c>
      <c r="G729" s="319" t="str">
        <f>IF(I729&lt;=0,"",IF(ISNUMBER(F729),I729*F729,"по запросу"))</f>
        <v/>
      </c>
      <c r="H729" s="320">
        <f>N('ДОП'!I28)</f>
        <v>0</v>
      </c>
      <c r="I729" s="320">
        <f>IF(N(E729)&gt;0,N(E729),H729)</f>
        <v>0</v>
      </c>
      <c r="J729" s="320">
        <f>I729*IF(N('ДОП'!E28)&gt;0,N('ДОП'!E28),N('ДОП'!G28))</f>
        <v>0</v>
      </c>
      <c r="K729" s="320">
        <f>I729*IF(N('ДОП'!F28)&gt;0,N('ДОП'!F28),N('ДОП'!G28))</f>
        <v>0</v>
      </c>
      <c r="L729" s="320">
        <f>N(L728)+(N(I729)&gt;0)</f>
        <v>0</v>
      </c>
    </row>
    <row r="730" ht="20" customHeight="1">
      <c r="A730" s="321" t="inlineStr">
        <is>
          <t xml:space="preserve">ДОП</t>
        </is>
      </c>
      <c r="B730" s="312" t="inlineStr">
        <is>
          <t xml:space="preserve">Универсальный обжимной инструмент:</t>
        </is>
      </c>
      <c r="L730" s="320">
        <f>N(L729)+(N(I730)&gt;0)</f>
        <v>0</v>
      </c>
    </row>
    <row r="731">
      <c r="A731" s="321" t="inlineStr">
        <is>
          <t xml:space="preserve">ДОП</t>
        </is>
      </c>
      <c r="B731" s="314" t="str">
        <f>'ДОП'!A30&amp;""</f>
        <v>LY-1305</v>
      </c>
      <c r="C731" s="315" t="str">
        <f>'ДОП'!B30&amp;""</f>
        <v>для изолированных Разъемов</v>
      </c>
      <c r="D731" s="316" t="str">
        <f>IF('ДОП'!H30="+","есть",IF('ДОП'!H30="-","нет",""))</f>
        <v>есть</v>
      </c>
      <c r="E731" s="317"/>
      <c r="F731" s="318">
        <f>IF(N('ДОП'!G30)&lt;=0,"по запросу",CHOOSE($K$3,IF(N('ДОП'!E30)&gt;0,N('ДОП'!E30),N('ДОП'!G30)),IF(N('ДОП'!F30)&gt;0,N('ДОП'!F30),N('ДОП'!G30)),N('ДОП'!G30)))</f>
        <v>200</v>
      </c>
      <c r="G731" s="319" t="str">
        <f>IF(I731&lt;=0,"",IF(ISNUMBER(F731),I731*F731,"по запросу"))</f>
        <v/>
      </c>
      <c r="H731" s="320">
        <f>N('ДОП'!I30)</f>
        <v>0</v>
      </c>
      <c r="I731" s="320">
        <f>IF(N(E731)&gt;0,N(E731),H731)</f>
        <v>0</v>
      </c>
      <c r="J731" s="320">
        <f>I731*IF(N('ДОП'!E30)&gt;0,N('ДОП'!E30),N('ДОП'!G30))</f>
        <v>0</v>
      </c>
      <c r="K731" s="320">
        <f>I731*IF(N('ДОП'!F30)&gt;0,N('ДОП'!F30),N('ДОП'!G30))</f>
        <v>0</v>
      </c>
      <c r="L731" s="320">
        <f>N(L730)+(N(I731)&gt;0)</f>
        <v>0</v>
      </c>
    </row>
    <row r="732">
      <c r="A732" s="321" t="inlineStr">
        <is>
          <t xml:space="preserve">ДОП</t>
        </is>
      </c>
      <c r="B732" s="314" t="str">
        <f>'ДОП'!A31&amp;""</f>
        <v>LY-6202</v>
      </c>
      <c r="C732" s="315" t="str">
        <f>'ДОП'!B31&amp;""</f>
        <v>AWG22-10 для клемм б/и, AWG28-14 для плоских Разъемов б/и</v>
      </c>
      <c r="D732" s="316" t="str">
        <f>IF('ДОП'!H31="+","есть",IF('ДОП'!H31="-","нет",""))</f>
        <v>есть</v>
      </c>
      <c r="E732" s="317"/>
      <c r="F732" s="318">
        <f>IF(N('ДОП'!G31)&lt;=0,"по запросу",CHOOSE($K$3,IF(N('ДОП'!E31)&gt;0,N('ДОП'!E31),N('ДОП'!G31)),IF(N('ДОП'!F31)&gt;0,N('ДОП'!F31),N('ДОП'!G31)),N('ДОП'!G31)))</f>
        <v>200</v>
      </c>
      <c r="G732" s="319" t="str">
        <f>IF(I732&lt;=0,"",IF(ISNUMBER(F732),I732*F732,"по запросу"))</f>
        <v/>
      </c>
      <c r="H732" s="320">
        <f>N('ДОП'!I31)</f>
        <v>0</v>
      </c>
      <c r="I732" s="320">
        <f>IF(N(E732)&gt;0,N(E732),H732)</f>
        <v>0</v>
      </c>
      <c r="J732" s="320">
        <f>I732*IF(N('ДОП'!E31)&gt;0,N('ДОП'!E31),N('ДОП'!G31))</f>
        <v>0</v>
      </c>
      <c r="K732" s="320">
        <f>I732*IF(N('ДОП'!F31)&gt;0,N('ДОП'!F31),N('ДОП'!G31))</f>
        <v>0</v>
      </c>
      <c r="L732" s="320">
        <f>N(L731)+(N(I732)&gt;0)</f>
        <v>0</v>
      </c>
    </row>
    <row r="733">
      <c r="A733" s="321" t="inlineStr">
        <is>
          <t xml:space="preserve">ДОП</t>
        </is>
      </c>
      <c r="B733" s="314" t="str">
        <f>'ДОП'!A32&amp;""</f>
        <v>LY-462WH</v>
      </c>
      <c r="C733" s="315" t="str">
        <f>'ДОП'!B32&amp;""</f>
        <v> для набивания резиновых втулок влагозащищенных коннекторов</v>
      </c>
      <c r="D733" s="316" t="str">
        <f>IF('ДОП'!H32="+","есть",IF('ДОП'!H32="-","нет",""))</f>
        <v>есть</v>
      </c>
      <c r="E733" s="317"/>
      <c r="F733" s="318">
        <f>IF(N('ДОП'!G32)&lt;=0,"по запросу",CHOOSE($K$3,IF(N('ДОП'!E32)&gt;0,N('ДОП'!E32),N('ДОП'!G32)),IF(N('ДОП'!F32)&gt;0,N('ДОП'!F32),N('ДОП'!G32)),N('ДОП'!G32)))</f>
        <v>50</v>
      </c>
      <c r="G733" s="319" t="str">
        <f>IF(I733&lt;=0,"",IF(ISNUMBER(F733),I733*F733,"по запросу"))</f>
        <v/>
      </c>
      <c r="H733" s="320">
        <f>N('ДОП'!I32)</f>
        <v>0</v>
      </c>
      <c r="I733" s="320">
        <f>IF(N(E733)&gt;0,N(E733),H733)</f>
        <v>0</v>
      </c>
      <c r="J733" s="320">
        <f>I733*IF(N('ДОП'!E32)&gt;0,N('ДОП'!E32),N('ДОП'!G32))</f>
        <v>0</v>
      </c>
      <c r="K733" s="320">
        <f>I733*IF(N('ДОП'!F32)&gt;0,N('ДОП'!F32),N('ДОП'!G32))</f>
        <v>0</v>
      </c>
      <c r="L733" s="320">
        <f>N(L732)+(N(I733)&gt;0)</f>
        <v>0</v>
      </c>
    </row>
    <row r="734">
      <c r="A734" s="321" t="inlineStr">
        <is>
          <t xml:space="preserve">ДОП</t>
        </is>
      </c>
      <c r="B734" s="314" t="str">
        <f>'ДОП'!A33&amp;""</f>
        <v>LY-462WH</v>
      </c>
      <c r="C734" s="315" t="str">
        <f>'ДОП'!B33&amp;""</f>
        <v> для набивания резиновых втулок влагозащищенных коннекторов</v>
      </c>
      <c r="D734" s="316" t="str">
        <f>IF('ДОП'!H33="+","есть",IF('ДОП'!H33="-","нет",""))</f>
        <v>есть</v>
      </c>
      <c r="E734" s="317"/>
      <c r="F734" s="318">
        <f>IF(N('ДОП'!G33)&lt;=0,"по запросу",CHOOSE($K$3,IF(N('ДОП'!E33)&gt;0,N('ДОП'!E33),N('ДОП'!G33)),IF(N('ДОП'!F33)&gt;0,N('ДОП'!F33),N('ДОП'!G33)),N('ДОП'!G33)))</f>
        <v>163.8</v>
      </c>
      <c r="G734" s="319" t="str">
        <f>IF(I734&lt;=0,"",IF(ISNUMBER(F734),I734*F734,"по запросу"))</f>
        <v/>
      </c>
      <c r="H734" s="320">
        <f>N('ДОП'!I33)</f>
        <v>0</v>
      </c>
      <c r="I734" s="320">
        <f>IF(N(E734)&gt;0,N(E734),H734)</f>
        <v>0</v>
      </c>
      <c r="J734" s="320">
        <f>I734*IF(N('ДОП'!E33)&gt;0,N('ДОП'!E33),N('ДОП'!G33))</f>
        <v>0</v>
      </c>
      <c r="K734" s="320">
        <f>I734*IF(N('ДОП'!F33)&gt;0,N('ДОП'!F33),N('ДОП'!G33))</f>
        <v>0</v>
      </c>
      <c r="L734" s="320">
        <f>N(L733)+(N(I734)&gt;0)</f>
        <v>0</v>
      </c>
    </row>
    <row r="735" ht="20" customHeight="1">
      <c r="A735" s="321" t="inlineStr">
        <is>
          <t xml:space="preserve">ДОП</t>
        </is>
      </c>
      <c r="B735" s="312" t="inlineStr">
        <is>
          <t xml:space="preserve">Инструмент, используемый при установке дополнительного оборудования</t>
        </is>
      </c>
      <c r="L735" s="320">
        <f>N(L734)+(N(I735)&gt;0)</f>
        <v>0</v>
      </c>
    </row>
    <row r="736">
      <c r="A736" s="321" t="inlineStr">
        <is>
          <t xml:space="preserve">ДОП</t>
        </is>
      </c>
      <c r="B736" s="314" t="str">
        <f>'ДОП'!A35&amp;""</f>
        <v>GT 194</v>
      </c>
      <c r="C736" s="315" t="str">
        <f>'ДОП'!B35&amp;""</f>
        <v>для демонтажа уплотнителей, панелей и т.п.</v>
      </c>
      <c r="D736" s="316" t="str">
        <f>IF('ДОП'!H35="+","есть",IF('ДОП'!H35="-","нет",""))</f>
        <v>есть</v>
      </c>
      <c r="E736" s="317"/>
      <c r="F736" s="318">
        <f>IF(N('ДОП'!G35)&lt;=0,"по запросу",CHOOSE($K$3,IF(N('ДОП'!E35)&gt;0,N('ДОП'!E35),N('ДОП'!G35)),IF(N('ДОП'!F35)&gt;0,N('ДОП'!F35),N('ДОП'!G35)),N('ДОП'!G35)))</f>
        <v>245.1</v>
      </c>
      <c r="G736" s="319" t="str">
        <f>IF(I736&lt;=0,"",IF(ISNUMBER(F736),I736*F736,"по запросу"))</f>
        <v/>
      </c>
      <c r="H736" s="320">
        <f>N('ДОП'!I35)</f>
        <v>0</v>
      </c>
      <c r="I736" s="320">
        <f>IF(N(E736)&gt;0,N(E736),H736)</f>
        <v>0</v>
      </c>
      <c r="J736" s="320">
        <f>I736*IF(N('ДОП'!E35)&gt;0,N('ДОП'!E35),N('ДОП'!G35))</f>
        <v>0</v>
      </c>
      <c r="K736" s="320">
        <f>I736*IF(N('ДОП'!F35)&gt;0,N('ДОП'!F35),N('ДОП'!G35))</f>
        <v>0</v>
      </c>
      <c r="L736" s="320">
        <f>N(L735)+(N(I736)&gt;0)</f>
        <v>0</v>
      </c>
    </row>
    <row r="737" ht="24" customHeight="1">
      <c r="A737" s="321" t="inlineStr">
        <is>
          <t xml:space="preserve">ДОП</t>
        </is>
      </c>
      <c r="B737" s="311" t="inlineStr">
        <is>
          <t xml:space="preserve">ДОПОЛНИТЕЛЬНОЕ ОБОРУДОВАНИЕ</t>
        </is>
      </c>
      <c r="L737" s="320">
        <f>N(L736)+(N(I737)&gt;0)</f>
        <v>0</v>
      </c>
    </row>
    <row r="738">
      <c r="A738" s="321" t="inlineStr">
        <is>
          <t xml:space="preserve">ДОП</t>
        </is>
      </c>
      <c r="B738" s="314" t="str">
        <f>'ДОП'!A37&amp;""</f>
        <v>Электронная секретка ES-1</v>
      </c>
      <c r="C738" s="315" t="str">
        <f>'ДОП'!B37&amp;""</f>
        <v>Электронная секретка ES-1</v>
      </c>
      <c r="D738" s="316" t="str">
        <f>IF('ДОП'!H37="+","есть",IF('ДОП'!H37="-","нет",""))</f>
        <v>есть</v>
      </c>
      <c r="E738" s="317"/>
      <c r="F738" s="318">
        <f>IF(N('ДОП'!G37)&lt;=0,"по запросу",CHOOSE($K$3,IF(N('ДОП'!E37)&gt;0,N('ДОП'!E37),N('ДОП'!G37)),IF(N('ДОП'!F37)&gt;0,N('ДОП'!F37),N('ДОП'!G37)),N('ДОП'!G37)))</f>
        <v>200</v>
      </c>
      <c r="G738" s="319" t="str">
        <f>IF(I738&lt;=0,"",IF(ISNUMBER(F738),I738*F738,"по запросу"))</f>
        <v/>
      </c>
      <c r="H738" s="320">
        <f>N('ДОП'!I37)</f>
        <v>0</v>
      </c>
      <c r="I738" s="320">
        <f>IF(N(E738)&gt;0,N(E738),H738)</f>
        <v>0</v>
      </c>
      <c r="J738" s="320">
        <f>I738*IF(N('ДОП'!E37)&gt;0,N('ДОП'!E37),N('ДОП'!G37))</f>
        <v>0</v>
      </c>
      <c r="K738" s="320">
        <f>I738*IF(N('ДОП'!F37)&gt;0,N('ДОП'!F37),N('ДОП'!G37))</f>
        <v>0</v>
      </c>
      <c r="L738" s="320">
        <f>N(L737)+(N(I738)&gt;0)</f>
        <v>0</v>
      </c>
    </row>
    <row r="739" ht="24" customHeight="1">
      <c r="A739" s="321" t="inlineStr">
        <is>
          <t xml:space="preserve">ДОП</t>
        </is>
      </c>
      <c r="B739" s="311" t="inlineStr">
        <is>
          <t xml:space="preserve">СТЕКЛОПОДЪЕМНИКИ</t>
        </is>
      </c>
      <c r="L739" s="320">
        <f>N(L738)+(N(I739)&gt;0)</f>
        <v>0</v>
      </c>
    </row>
    <row r="740" ht="20" customHeight="1">
      <c r="A740" s="321" t="inlineStr">
        <is>
          <t xml:space="preserve">ДОП</t>
        </is>
      </c>
      <c r="B740" s="312" t="inlineStr">
        <is>
          <t xml:space="preserve">Комплекты: стеклоподъемники универсальные+кнопки</t>
        </is>
      </c>
      <c r="L740" s="320">
        <f>N(L739)+(N(I740)&gt;0)</f>
        <v>0</v>
      </c>
    </row>
    <row r="741">
      <c r="A741" s="321" t="inlineStr">
        <is>
          <t xml:space="preserve">ДОП</t>
        </is>
      </c>
      <c r="B741" s="314" t="str">
        <f>'ДОП'!A40&amp;""</f>
        <v>PW-1</v>
      </c>
      <c r="C741" s="315" t="str">
        <f>'ДОП'!B40&amp;""</f>
        <v> универсальный эл.стеклоподъемник, 2двери; 3 кнопки с подсветкой</v>
      </c>
      <c r="D741" s="316" t="str">
        <f>IF('ДОП'!H40="+","есть",IF('ДОП'!H40="-","нет",""))</f>
        <v>есть</v>
      </c>
      <c r="E741" s="317"/>
      <c r="F741" s="318">
        <f>IF(N('ДОП'!G40)&lt;=0,"по запросу",CHOOSE($K$3,IF(N('ДОП'!E40)&gt;0,N('ДОП'!E40),N('ДОП'!G40)),IF(N('ДОП'!F40)&gt;0,N('ДОП'!F40),N('ДОП'!G40)),N('ДОП'!G40)))</f>
        <v>3149.4</v>
      </c>
      <c r="G741" s="319" t="str">
        <f>IF(I741&lt;=0,"",IF(ISNUMBER(F741),I741*F741,"по запросу"))</f>
        <v/>
      </c>
      <c r="H741" s="320">
        <f>N('ДОП'!I40)</f>
        <v>0</v>
      </c>
      <c r="I741" s="320">
        <f>IF(N(E741)&gt;0,N(E741),H741)</f>
        <v>0</v>
      </c>
      <c r="J741" s="320">
        <f>I741*IF(N('ДОП'!E40)&gt;0,N('ДОП'!E40),N('ДОП'!G40))</f>
        <v>0</v>
      </c>
      <c r="K741" s="320">
        <f>I741*IF(N('ДОП'!F40)&gt;0,N('ДОП'!F40),N('ДОП'!G40))</f>
        <v>0</v>
      </c>
      <c r="L741" s="320">
        <f>N(L740)+(N(I741)&gt;0)</f>
        <v>0</v>
      </c>
    </row>
    <row r="742">
      <c r="A742" s="321" t="inlineStr">
        <is>
          <t xml:space="preserve">ДОП</t>
        </is>
      </c>
      <c r="B742" s="314" t="str">
        <f>'ДОП'!A41&amp;""</f>
        <v>SPL 001</v>
      </c>
      <c r="C742" s="315" t="str">
        <f>'ДОП'!B41&amp;""</f>
        <v> универсальный эл.стеклоподъемник, 2двери; 3 кнопки с подсветкой (PW2 в белой коробке)</v>
      </c>
      <c r="D742" s="316" t="str">
        <f>IF('ДОП'!H41="+","есть",IF('ДОП'!H41="-","нет",""))</f>
        <v>есть</v>
      </c>
      <c r="E742" s="317"/>
      <c r="F742" s="318">
        <f>IF(N('ДОП'!G41)&lt;=0,"по запросу",CHOOSE($K$3,IF(N('ДОП'!E41)&gt;0,N('ДОП'!E41),N('ДОП'!G41)),IF(N('ДОП'!F41)&gt;0,N('ДОП'!F41),N('ДОП'!G41)),N('ДОП'!G41)))</f>
        <v>3528.6</v>
      </c>
      <c r="G742" s="319" t="str">
        <f>IF(I742&lt;=0,"",IF(ISNUMBER(F742),I742*F742,"по запросу"))</f>
        <v/>
      </c>
      <c r="H742" s="320">
        <f>N('ДОП'!I41)</f>
        <v>0</v>
      </c>
      <c r="I742" s="320">
        <f>IF(N(E742)&gt;0,N(E742),H742)</f>
        <v>0</v>
      </c>
      <c r="J742" s="320">
        <f>I742*IF(N('ДОП'!E41)&gt;0,N('ДОП'!E41),N('ДОП'!G41))</f>
        <v>0</v>
      </c>
      <c r="K742" s="320">
        <f>I742*IF(N('ДОП'!F41)&gt;0,N('ДОП'!F41),N('ДОП'!G41))</f>
        <v>0</v>
      </c>
      <c r="L742" s="320">
        <f>N(L741)+(N(I742)&gt;0)</f>
        <v>0</v>
      </c>
    </row>
    <row r="743" ht="28" customHeight="1">
      <c r="A743" s="310" t="inlineStr">
        <is>
          <t xml:space="preserve">Защитные покрытия</t>
        </is>
      </c>
      <c r="B743" s="310"/>
      <c r="C743" s="310"/>
      <c r="D743" s="310"/>
      <c r="E743" s="310"/>
      <c r="F743" s="310"/>
      <c r="G743" s="310"/>
      <c r="L743" s="320">
        <f>N(L742)+(N(I743)&gt;0)</f>
        <v>0</v>
      </c>
    </row>
    <row r="744" ht="20" customHeight="1">
      <c r="A744" s="321" t="inlineStr">
        <is>
          <t xml:space="preserve">Защитные покрытия</t>
        </is>
      </c>
      <c r="B744" s="312" t="inlineStr">
        <is>
          <t xml:space="preserve">Универсальные защитные покрытия</t>
        </is>
      </c>
      <c r="L744" s="320">
        <f>N(L743)+(N(I744)&gt;0)</f>
        <v>0</v>
      </c>
    </row>
    <row r="745">
      <c r="A745" s="321" t="inlineStr">
        <is>
          <t xml:space="preserve">Защитные покрытия</t>
        </is>
      </c>
      <c r="B745" s="314" t="str">
        <f>'Защитные покрытия'!A9&amp;""</f>
        <v>NU-55</v>
      </c>
      <c r="C745" s="315" t="str">
        <f>'Защитные покрытия'!B9&amp;""</f>
        <v>маскирующее укрывное покрытие п/э с клейкой креплентой, 55смХ20м</v>
      </c>
      <c r="D745" s="316" t="str">
        <f>IF('Защитные покрытия'!H9="+","есть",IF('Защитные покрытия'!H9="-","нет",""))</f>
        <v>есть</v>
      </c>
      <c r="E745" s="317"/>
      <c r="F745" s="318">
        <f>IF(N('Защитные покрытия'!G9)&lt;=0,"по запросу",CHOOSE($K$3,IF(N('Защитные покрытия'!E9)&gt;0,N('Защитные покрытия'!E9),N('Защитные покрытия'!G9)),IF(N('Защитные покрытия'!F9)&gt;0,N('Защитные покрытия'!F9),N('Защитные покрытия'!G9)),N('Защитные покрытия'!G9)))</f>
        <v>189.8</v>
      </c>
      <c r="G745" s="319" t="str">
        <f>IF(I745&lt;=0,"",IF(ISNUMBER(F745),I745*F745,"по запросу"))</f>
        <v/>
      </c>
      <c r="H745" s="320">
        <f>N('Защитные покрытия'!I9)</f>
        <v>0</v>
      </c>
      <c r="I745" s="320">
        <f>IF(N(E745)&gt;0,N(E745),H745)</f>
        <v>0</v>
      </c>
      <c r="J745" s="320">
        <f>I745*IF(N('Защитные покрытия'!E9)&gt;0,N('Защитные покрытия'!E9),N('Защитные покрытия'!G9))</f>
        <v>0</v>
      </c>
      <c r="K745" s="320">
        <f>I745*IF(N('Защитные покрытия'!F9)&gt;0,N('Защитные покрытия'!F9),N('Защитные покрытия'!G9))</f>
        <v>0</v>
      </c>
      <c r="L745" s="320">
        <f>N(L744)+(N(I745)&gt;0)</f>
        <v>0</v>
      </c>
    </row>
    <row r="746">
      <c r="A746" s="321" t="inlineStr">
        <is>
          <t xml:space="preserve">Защитные покрытия</t>
        </is>
      </c>
      <c r="B746" s="314" t="str">
        <f>'Защитные покрытия'!A10&amp;""</f>
        <v>NU-110</v>
      </c>
      <c r="C746" s="315" t="str">
        <f>'Защитные покрытия'!B10&amp;""</f>
        <v>маскирующее укрывное покрытие п/э с клейкой креплентой, 110смХ20м</v>
      </c>
      <c r="D746" s="316" t="str">
        <f>IF('Защитные покрытия'!H10="+","есть",IF('Защитные покрытия'!H10="-","нет",""))</f>
        <v>есть</v>
      </c>
      <c r="E746" s="317"/>
      <c r="F746" s="318">
        <f>IF(N('Защитные покрытия'!G10)&lt;=0,"по запросу",CHOOSE($K$3,IF(N('Защитные покрытия'!E10)&gt;0,N('Защитные покрытия'!E10),N('Защитные покрытия'!G10)),IF(N('Защитные покрытия'!F10)&gt;0,N('Защитные покрытия'!F10),N('Защитные покрытия'!G10)),N('Защитные покрытия'!G10)))</f>
        <v>288.8</v>
      </c>
      <c r="G746" s="319" t="str">
        <f>IF(I746&lt;=0,"",IF(ISNUMBER(F746),I746*F746,"по запросу"))</f>
        <v/>
      </c>
      <c r="H746" s="320">
        <f>N('Защитные покрытия'!I10)</f>
        <v>0</v>
      </c>
      <c r="I746" s="320">
        <f>IF(N(E746)&gt;0,N(E746),H746)</f>
        <v>0</v>
      </c>
      <c r="J746" s="320">
        <f>I746*IF(N('Защитные покрытия'!E10)&gt;0,N('Защитные покрытия'!E10),N('Защитные покрытия'!G10))</f>
        <v>0</v>
      </c>
      <c r="K746" s="320">
        <f>I746*IF(N('Защитные покрытия'!F10)&gt;0,N('Защитные покрытия'!F10),N('Защитные покрытия'!G10))</f>
        <v>0</v>
      </c>
      <c r="L746" s="320">
        <f>N(L745)+(N(I746)&gt;0)</f>
        <v>0</v>
      </c>
    </row>
    <row r="747">
      <c r="A747" s="321" t="inlineStr">
        <is>
          <t xml:space="preserve">Защитные покрытия</t>
        </is>
      </c>
      <c r="B747" s="314" t="str">
        <f>'Защитные покрытия'!A11&amp;""</f>
        <v>NU-180</v>
      </c>
      <c r="C747" s="315" t="str">
        <f>'Защитные покрытия'!B11&amp;""</f>
        <v>маскирующее укрывное покрытие п/э с клейкой креплентой, 180смХ20м</v>
      </c>
      <c r="D747" s="316" t="str">
        <f>IF('Защитные покрытия'!H11="+","есть",IF('Защитные покрытия'!H11="-","нет",""))</f>
        <v>есть</v>
      </c>
      <c r="E747" s="317"/>
      <c r="F747" s="318">
        <f>IF(N('Защитные покрытия'!G11)&lt;=0,"по запросу",CHOOSE($K$3,IF(N('Защитные покрытия'!E11)&gt;0,N('Защитные покрытия'!E11),N('Защитные покрытия'!G11)),IF(N('Защитные покрытия'!F11)&gt;0,N('Защитные покрытия'!F11),N('Защитные покрытия'!G11)),N('Защитные покрытия'!G11)))</f>
        <v>552.3</v>
      </c>
      <c r="G747" s="319" t="str">
        <f>IF(I747&lt;=0,"",IF(ISNUMBER(F747),I747*F747,"по запросу"))</f>
        <v/>
      </c>
      <c r="H747" s="320">
        <f>N('Защитные покрытия'!I11)</f>
        <v>0</v>
      </c>
      <c r="I747" s="320">
        <f>IF(N(E747)&gt;0,N(E747),H747)</f>
        <v>0</v>
      </c>
      <c r="J747" s="320">
        <f>I747*IF(N('Защитные покрытия'!E11)&gt;0,N('Защитные покрытия'!E11),N('Защитные покрытия'!G11))</f>
        <v>0</v>
      </c>
      <c r="K747" s="320">
        <f>I747*IF(N('Защитные покрытия'!F11)&gt;0,N('Защитные покрытия'!F11),N('Защитные покрытия'!G11))</f>
        <v>0</v>
      </c>
      <c r="L747" s="320">
        <f>N(L746)+(N(I747)&gt;0)</f>
        <v>0</v>
      </c>
    </row>
    <row r="748">
      <c r="A748" s="321" t="inlineStr">
        <is>
          <t xml:space="preserve">Защитные покрытия</t>
        </is>
      </c>
      <c r="B748" s="314" t="str">
        <f>'Защитные покрытия'!A12&amp;""</f>
        <v>NU-270 (15)</v>
      </c>
      <c r="C748" s="315" t="str">
        <f>'Защитные покрытия'!B12&amp;""</f>
        <v>маскирующее укрывное покрытие п/э с клейкой креплентой, 270смХ15м</v>
      </c>
      <c r="D748" s="316" t="str">
        <f>IF('Защитные покрытия'!H12="+","есть",IF('Защитные покрытия'!H12="-","нет",""))</f>
        <v>есть</v>
      </c>
      <c r="E748" s="317"/>
      <c r="F748" s="318">
        <f>IF(N('Защитные покрытия'!G12)&lt;=0,"по запросу",CHOOSE($K$3,IF(N('Защитные покрытия'!E12)&gt;0,N('Защитные покрытия'!E12),N('Защитные покрытия'!G12)),IF(N('Защитные покрытия'!F12)&gt;0,N('Защитные покрытия'!F12),N('Защитные покрытия'!G12)),N('Защитные покрытия'!G12)))</f>
        <v>608.9</v>
      </c>
      <c r="G748" s="319" t="str">
        <f>IF(I748&lt;=0,"",IF(ISNUMBER(F748),I748*F748,"по запросу"))</f>
        <v/>
      </c>
      <c r="H748" s="320">
        <f>N('Защитные покрытия'!I12)</f>
        <v>0</v>
      </c>
      <c r="I748" s="320">
        <f>IF(N(E748)&gt;0,N(E748),H748)</f>
        <v>0</v>
      </c>
      <c r="J748" s="320">
        <f>I748*IF(N('Защитные покрытия'!E12)&gt;0,N('Защитные покрытия'!E12),N('Защитные покрытия'!G12))</f>
        <v>0</v>
      </c>
      <c r="K748" s="320">
        <f>I748*IF(N('Защитные покрытия'!F12)&gt;0,N('Защитные покрытия'!F12),N('Защитные покрытия'!G12))</f>
        <v>0</v>
      </c>
      <c r="L748" s="320">
        <f>N(L747)+(N(I748)&gt;0)</f>
        <v>0</v>
      </c>
    </row>
    <row r="749" ht="20" customHeight="1">
      <c r="A749" s="321" t="inlineStr">
        <is>
          <t xml:space="preserve">Защитные покрытия</t>
        </is>
      </c>
      <c r="B749" s="312" t="inlineStr">
        <is>
          <t xml:space="preserve">Защитные покрытия для наружного применения</t>
        </is>
      </c>
      <c r="L749" s="320">
        <f>N(L748)+(N(I749)&gt;0)</f>
        <v>0</v>
      </c>
    </row>
    <row r="750">
      <c r="A750" s="321" t="inlineStr">
        <is>
          <t xml:space="preserve">Защитные покрытия</t>
        </is>
      </c>
      <c r="B750" s="314" t="str">
        <f>'Защитные покрытия'!A14&amp;""</f>
        <v>NKA</v>
      </c>
      <c r="C750" s="315" t="str">
        <f>'Защитные покрытия'!B14&amp;""</f>
        <v>защитная накидка с магнитами на капот для защиты лакокрасочного покрытия, синяя, 195см х 140 см</v>
      </c>
      <c r="D750" s="316" t="str">
        <f>IF('Защитные покрытия'!H14="+","есть",IF('Защитные покрытия'!H14="-","нет",""))</f>
        <v>есть</v>
      </c>
      <c r="E750" s="317"/>
      <c r="F750" s="318">
        <f>IF(N('Защитные покрытия'!G14)&lt;=0,"по запросу",CHOOSE($K$3,IF(N('Защитные покрытия'!E14)&gt;0,N('Защитные покрытия'!E14),N('Защитные покрытия'!G14)),IF(N('Защитные покрытия'!F14)&gt;0,N('Защитные покрытия'!F14),N('Защитные покрытия'!G14)),N('Защитные покрытия'!G14)))</f>
        <v>2120.9</v>
      </c>
      <c r="G750" s="319" t="str">
        <f>IF(I750&lt;=0,"",IF(ISNUMBER(F750),I750*F750,"по запросу"))</f>
        <v/>
      </c>
      <c r="H750" s="320">
        <f>N('Защитные покрытия'!I14)</f>
        <v>0</v>
      </c>
      <c r="I750" s="320">
        <f>IF(N(E750)&gt;0,N(E750),H750)</f>
        <v>0</v>
      </c>
      <c r="J750" s="320">
        <f>I750*IF(N('Защитные покрытия'!E14)&gt;0,N('Защитные покрытия'!E14),N('Защитные покрытия'!G14))</f>
        <v>0</v>
      </c>
      <c r="K750" s="320">
        <f>I750*IF(N('Защитные покрытия'!F14)&gt;0,N('Защитные покрытия'!F14),N('Защитные покрытия'!G14))</f>
        <v>0</v>
      </c>
      <c r="L750" s="320">
        <f>N(L749)+(N(I750)&gt;0)</f>
        <v>0</v>
      </c>
    </row>
    <row r="751" ht="20" customHeight="1">
      <c r="A751" s="321" t="inlineStr">
        <is>
          <t xml:space="preserve">Защитные покрытия</t>
        </is>
      </c>
      <c r="B751" s="312" t="inlineStr">
        <is>
          <t xml:space="preserve">Внутрисалонные защитные покрытия</t>
        </is>
      </c>
      <c r="L751" s="320">
        <f>N(L750)+(N(I751)&gt;0)</f>
        <v>0</v>
      </c>
    </row>
    <row r="752">
      <c r="A752" s="321" t="inlineStr">
        <is>
          <t xml:space="preserve">Защитные покрытия</t>
        </is>
      </c>
      <c r="B752" s="314" t="str">
        <f>'Защитные покрытия'!A16&amp;""</f>
        <v>NS-2 накидка на сиденье</v>
      </c>
      <c r="C752" s="315" t="str">
        <f>'Защитные покрытия'!B16&amp;""</f>
        <v>накидка на сиденье,130см*80см, п/э 12 мкм, 250шт в рулоне</v>
      </c>
      <c r="D752" s="316" t="str">
        <f>IF('Защитные покрытия'!H16="+","есть",IF('Защитные покрытия'!H16="-","нет",""))</f>
        <v>нет</v>
      </c>
      <c r="E752" s="317"/>
      <c r="F752" s="318">
        <f>IF(N('Защитные покрытия'!G16)&lt;=0,"по запросу",CHOOSE($K$3,IF(N('Защитные покрытия'!E16)&gt;0,N('Защитные покрытия'!E16),N('Защитные покрытия'!G16)),IF(N('Защитные покрытия'!F16)&gt;0,N('Защитные покрытия'!F16),N('Защитные покрытия'!G16)),N('Защитные покрытия'!G16)))</f>
        <v>2199.3</v>
      </c>
      <c r="G752" s="319" t="str">
        <f>IF(I752&lt;=0,"",IF(ISNUMBER(F752),I752*F752,"по запросу"))</f>
        <v/>
      </c>
      <c r="H752" s="320">
        <f>N('Защитные покрытия'!I16)</f>
        <v>0</v>
      </c>
      <c r="I752" s="320">
        <f>IF(N(E752)&gt;0,N(E752),H752)</f>
        <v>0</v>
      </c>
      <c r="J752" s="320">
        <f>I752*IF(N('Защитные покрытия'!E16)&gt;0,N('Защитные покрытия'!E16),N('Защитные покрытия'!G16))</f>
        <v>0</v>
      </c>
      <c r="K752" s="320">
        <f>I752*IF(N('Защитные покрытия'!F16)&gt;0,N('Защитные покрытия'!F16),N('Защитные покрытия'!G16))</f>
        <v>0</v>
      </c>
      <c r="L752" s="320">
        <f>N(L751)+(N(I752)&gt;0)</f>
        <v>0</v>
      </c>
    </row>
    <row r="753">
      <c r="A753" s="321" t="inlineStr">
        <is>
          <t xml:space="preserve">Защитные покрытия</t>
        </is>
      </c>
      <c r="B753" s="314" t="str">
        <f>'Защитные покрытия'!A17&amp;""</f>
        <v>NR-1 чехол на руль</v>
      </c>
      <c r="C753" s="315" t="str">
        <f>'Защитные покрытия'!B17&amp;""</f>
        <v>чехол на руль, d=45см, п/э, 250шт,(в мастер-коробке 4 упаковки), цена за упаковку</v>
      </c>
      <c r="D753" s="316" t="str">
        <f>IF('Защитные покрытия'!H17="+","есть",IF('Защитные покрытия'!H17="-","нет",""))</f>
        <v>есть</v>
      </c>
      <c r="E753" s="317"/>
      <c r="F753" s="318">
        <f>IF(N('Защитные покрытия'!G17)&lt;=0,"по запросу",CHOOSE($K$3,IF(N('Защитные покрытия'!E17)&gt;0,N('Защитные покрытия'!E17),N('Защитные покрытия'!G17)),IF(N('Защитные покрытия'!F17)&gt;0,N('Защитные покрытия'!F17),N('Защитные покрытия'!G17)),N('Защитные покрытия'!G17)))</f>
        <v>1797.5</v>
      </c>
      <c r="G753" s="319" t="str">
        <f>IF(I753&lt;=0,"",IF(ISNUMBER(F753),I753*F753,"по запросу"))</f>
        <v/>
      </c>
      <c r="H753" s="320">
        <f>N('Защитные покрытия'!I17)</f>
        <v>0</v>
      </c>
      <c r="I753" s="320">
        <f>IF(N(E753)&gt;0,N(E753),H753)</f>
        <v>0</v>
      </c>
      <c r="J753" s="320">
        <f>I753*IF(N('Защитные покрытия'!E17)&gt;0,N('Защитные покрытия'!E17),N('Защитные покрытия'!G17))</f>
        <v>0</v>
      </c>
      <c r="K753" s="320">
        <f>I753*IF(N('Защитные покрытия'!F17)&gt;0,N('Защитные покрытия'!F17),N('Защитные покрытия'!G17))</f>
        <v>0</v>
      </c>
      <c r="L753" s="320">
        <f>N(L752)+(N(I753)&gt;0)</f>
        <v>0</v>
      </c>
    </row>
    <row r="754">
      <c r="A754" s="321" t="inlineStr">
        <is>
          <t xml:space="preserve">Защитные покрытия</t>
        </is>
      </c>
      <c r="B754" s="314" t="str">
        <f>'Защитные покрытия'!A18&amp;""</f>
        <v>NR-KIT</v>
      </c>
      <c r="C754" s="315" t="str">
        <f>'Защитные покрытия'!B18&amp;""</f>
        <v>набор защитной пленки для руля (10 роликов стрейч пленки 110 мм*150м+1 ручка 21см)</v>
      </c>
      <c r="D754" s="316" t="str">
        <f>IF('Защитные покрытия'!H18="+","есть",IF('Защитные покрытия'!H18="-","нет",""))</f>
        <v>есть</v>
      </c>
      <c r="E754" s="317"/>
      <c r="F754" s="318">
        <f>IF(N('Защитные покрытия'!G18)&lt;=0,"по запросу",CHOOSE($K$3,IF(N('Защитные покрытия'!E18)&gt;0,N('Защитные покрытия'!E18),N('Защитные покрытия'!G18)),IF(N('Защитные покрытия'!F18)&gt;0,N('Защитные покрытия'!F18),N('Защитные покрытия'!G18)),N('Защитные покрытия'!G18)))</f>
        <v>2010.9</v>
      </c>
      <c r="G754" s="319" t="str">
        <f>IF(I754&lt;=0,"",IF(ISNUMBER(F754),I754*F754,"по запросу"))</f>
        <v/>
      </c>
      <c r="H754" s="320">
        <f>N('Защитные покрытия'!I18)</f>
        <v>0</v>
      </c>
      <c r="I754" s="320">
        <f>IF(N(E754)&gt;0,N(E754),H754)</f>
        <v>0</v>
      </c>
      <c r="J754" s="320">
        <f>I754*IF(N('Защитные покрытия'!E18)&gt;0,N('Защитные покрытия'!E18),N('Защитные покрытия'!G18))</f>
        <v>0</v>
      </c>
      <c r="K754" s="320">
        <f>I754*IF(N('Защитные покрытия'!F18)&gt;0,N('Защитные покрытия'!F18),N('Защитные покрытия'!G18))</f>
        <v>0</v>
      </c>
      <c r="L754" s="320">
        <f>N(L753)+(N(I754)&gt;0)</f>
        <v>0</v>
      </c>
    </row>
    <row r="755">
      <c r="A755" s="321" t="inlineStr">
        <is>
          <t xml:space="preserve">Защитные покрытия</t>
        </is>
      </c>
      <c r="B755" s="314" t="str">
        <f>'Защитные покрытия'!A19&amp;""</f>
        <v>NKPP-500 чехлы на КПП и ручник</v>
      </c>
      <c r="C755" s="315" t="str">
        <f>'Защитные покрытия'!B19&amp;""</f>
        <v>чехлы на КПП и ручник, п/э, 500шт в коробке</v>
      </c>
      <c r="D755" s="316" t="str">
        <f>IF('Защитные покрытия'!H19="+","есть",IF('Защитные покрытия'!H19="-","нет",""))</f>
        <v>нет</v>
      </c>
      <c r="E755" s="317"/>
      <c r="F755" s="318">
        <f>IF(N('Защитные покрытия'!G19)&lt;=0,"по запросу",CHOOSE($K$3,IF(N('Защитные покрытия'!E19)&gt;0,N('Защитные покрытия'!E19),N('Защитные покрытия'!G19)),IF(N('Защитные покрытия'!F19)&gt;0,N('Защитные покрытия'!F19),N('Защитные покрытия'!G19)),N('Защитные покрытия'!G19)))</f>
        <v>1360.4</v>
      </c>
      <c r="G755" s="319" t="str">
        <f>IF(I755&lt;=0,"",IF(ISNUMBER(F755),I755*F755,"по запросу"))</f>
        <v/>
      </c>
      <c r="H755" s="320">
        <f>N('Защитные покрытия'!I19)</f>
        <v>0</v>
      </c>
      <c r="I755" s="320">
        <f>IF(N(E755)&gt;0,N(E755),H755)</f>
        <v>0</v>
      </c>
      <c r="J755" s="320">
        <f>I755*IF(N('Защитные покрытия'!E19)&gt;0,N('Защитные покрытия'!E19),N('Защитные покрытия'!G19))</f>
        <v>0</v>
      </c>
      <c r="K755" s="320">
        <f>I755*IF(N('Защитные покрытия'!F19)&gt;0,N('Защитные покрытия'!F19),N('Защитные покрытия'!G19))</f>
        <v>0</v>
      </c>
      <c r="L755" s="320">
        <f>N(L754)+(N(I755)&gt;0)</f>
        <v>0</v>
      </c>
    </row>
    <row r="756">
      <c r="A756" s="321" t="inlineStr">
        <is>
          <t xml:space="preserve">Защитные покрытия</t>
        </is>
      </c>
      <c r="B756" s="314" t="str">
        <f>'Защитные покрытия'!A20&amp;""</f>
        <v>NP-3 защитное покрытие на пол</v>
      </c>
      <c r="C756" s="315" t="str">
        <f>'Защитные покрытия'!B20&amp;""</f>
        <v>защитное покрытие на пол, 40,5см*52,5см, бумага,"Следы ног вертикальные", 500шт</v>
      </c>
      <c r="D756" s="316" t="str">
        <f>IF('Защитные покрытия'!H20="+","есть",IF('Защитные покрытия'!H20="-","нет",""))</f>
        <v>есть</v>
      </c>
      <c r="E756" s="317"/>
      <c r="F756" s="318">
        <f>IF(N('Защитные покрытия'!G20)&lt;=0,"по запросу",CHOOSE($K$3,IF(N('Защитные покрытия'!E20)&gt;0,N('Защитные покрытия'!E20),N('Защитные покрытия'!G20)),IF(N('Защитные покрытия'!F20)&gt;0,N('Защитные покрытия'!F20),N('Защитные покрытия'!G20)),N('Защитные покрытия'!G20)))</f>
        <v>2678.4</v>
      </c>
      <c r="G756" s="319" t="str">
        <f>IF(I756&lt;=0,"",IF(ISNUMBER(F756),I756*F756,"по запросу"))</f>
        <v/>
      </c>
      <c r="H756" s="320">
        <f>N('Защитные покрытия'!I20)</f>
        <v>0</v>
      </c>
      <c r="I756" s="320">
        <f>IF(N(E756)&gt;0,N(E756),H756)</f>
        <v>0</v>
      </c>
      <c r="J756" s="320">
        <f>I756*IF(N('Защитные покрытия'!E20)&gt;0,N('Защитные покрытия'!E20),N('Защитные покрытия'!G20))</f>
        <v>0</v>
      </c>
      <c r="K756" s="320">
        <f>I756*IF(N('Защитные покрытия'!F20)&gt;0,N('Защитные покрытия'!F20),N('Защитные покрытия'!G20))</f>
        <v>0</v>
      </c>
      <c r="L756" s="320">
        <f>N(L755)+(N(I756)&gt;0)</f>
        <v>0</v>
      </c>
    </row>
    <row r="757" ht="20" customHeight="1">
      <c r="A757" s="321" t="inlineStr">
        <is>
          <t xml:space="preserve">Защитные покрытия</t>
        </is>
      </c>
      <c r="B757" s="312" t="inlineStr">
        <is>
          <t xml:space="preserve">Пакеты для хранения колес</t>
        </is>
      </c>
      <c r="L757" s="320">
        <f>N(L756)+(N(I757)&gt;0)</f>
        <v>0</v>
      </c>
    </row>
    <row r="758">
      <c r="A758" s="321" t="inlineStr">
        <is>
          <t xml:space="preserve">Защитные покрытия</t>
        </is>
      </c>
      <c r="B758" s="314" t="str">
        <f>'Защитные покрытия'!A22&amp;""</f>
        <v>NK-110/15</v>
      </c>
      <c r="C758" s="315" t="str">
        <f>'Защитные покрытия'!B22&amp;""</f>
        <v>Пакеты для хранения колес, 15мк, 110см х 110см (100 шт), белые</v>
      </c>
      <c r="D758" s="316" t="str">
        <f>IF('Защитные покрытия'!H22="+","есть",IF('Защитные покрытия'!H22="-","нет",""))</f>
        <v>есть</v>
      </c>
      <c r="E758" s="317"/>
      <c r="F758" s="318">
        <f>IF(N('Защитные покрытия'!G22)&lt;=0,"по запросу",CHOOSE($K$3,IF(N('Защитные покрытия'!E22)&gt;0,N('Защитные покрытия'!E22),N('Защитные покрытия'!G22)),IF(N('Защитные покрытия'!F22)&gt;0,N('Защитные покрытия'!F22),N('Защитные покрытия'!G22)),N('Защитные покрытия'!G22)))</f>
        <v>1294.4</v>
      </c>
      <c r="G758" s="319" t="str">
        <f>IF(I758&lt;=0,"",IF(ISNUMBER(F758),I758*F758,"по запросу"))</f>
        <v/>
      </c>
      <c r="H758" s="320">
        <f>N('Защитные покрытия'!I22)</f>
        <v>0</v>
      </c>
      <c r="I758" s="320">
        <f>IF(N(E758)&gt;0,N(E758),H758)</f>
        <v>0</v>
      </c>
      <c r="J758" s="320">
        <f>I758*IF(N('Защитные покрытия'!E22)&gt;0,N('Защитные покрытия'!E22),N('Защитные покрытия'!G22))</f>
        <v>0</v>
      </c>
      <c r="K758" s="320">
        <f>I758*IF(N('Защитные покрытия'!F22)&gt;0,N('Защитные покрытия'!F22),N('Защитные покрытия'!G22))</f>
        <v>0</v>
      </c>
      <c r="L758" s="320">
        <f>N(L757)+(N(I758)&gt;0)</f>
        <v>0</v>
      </c>
    </row>
    <row r="759" ht="28" customHeight="1">
      <c r="A759" s="310" t="inlineStr">
        <is>
          <t xml:space="preserve">Мобильные аксессуары</t>
        </is>
      </c>
      <c r="B759" s="310"/>
      <c r="C759" s="310"/>
      <c r="D759" s="310"/>
      <c r="E759" s="310"/>
      <c r="F759" s="310"/>
      <c r="G759" s="310"/>
      <c r="L759" s="320">
        <f>N(L758)+(N(I759)&gt;0)</f>
        <v>0</v>
      </c>
    </row>
    <row r="760">
      <c r="A760" s="321" t="inlineStr">
        <is>
          <t xml:space="preserve">Мобильные аксессуары</t>
        </is>
      </c>
      <c r="B760" s="314" t="str">
        <f>'Мобильные аксессуары'!A5&amp;""</f>
        <v>Blade 5000 </v>
      </c>
      <c r="C760" s="315" t="str">
        <f>'Мобильные аксессуары'!C5&amp;""</f>
        <v>Ультра тонкий пауэрбэнк, тип батареи: Li-Polymer (cell UL approval), Емкость: 5000mAh, размер: 150*65*9.6 мм, вес: 121.3 г</v>
      </c>
      <c r="D760" s="316" t="str">
        <f>IF('Мобильные аксессуары'!I5="+","есть",IF('Мобильные аксессуары'!I5="-","нет",""))</f>
        <v>есть</v>
      </c>
      <c r="E760" s="317"/>
      <c r="F760" s="318">
        <f>IF(N('Мобильные аксессуары'!H5)&lt;=0,"по запросу",CHOOSE($K$3,IF(N('Мобильные аксессуары'!F5)&gt;0,N('Мобильные аксессуары'!F5),N('Мобильные аксессуары'!H5)),IF(N('Мобильные аксессуары'!G5)&gt;0,N('Мобильные аксессуары'!G5),N('Мобильные аксессуары'!H5)),N('Мобильные аксессуары'!H5)))</f>
        <v>200</v>
      </c>
      <c r="G760" s="319" t="str">
        <f>IF(I760&lt;=0,"",IF(ISNUMBER(F760),I760*F760,"по запросу"))</f>
        <v/>
      </c>
      <c r="H760" s="320">
        <f>N('Мобильные аксессуары'!J5)</f>
        <v>0</v>
      </c>
      <c r="I760" s="320">
        <f>IF(N(E760)&gt;0,N(E760),H760)</f>
        <v>0</v>
      </c>
      <c r="J760" s="320">
        <f>I760*IF(N('Мобильные аксессуары'!F5)&gt;0,N('Мобильные аксессуары'!F5),N('Мобильные аксессуары'!H5))</f>
        <v>0</v>
      </c>
      <c r="K760" s="320">
        <f>I760*IF(N('Мобильные аксессуары'!G5)&gt;0,N('Мобильные аксессуары'!G5),N('Мобильные аксессуары'!H5))</f>
        <v>0</v>
      </c>
      <c r="L760" s="320">
        <f>N(L759)+(N(I760)&gt;0)</f>
        <v>0</v>
      </c>
    </row>
    <row r="761">
      <c r="A761" s="321" t="inlineStr">
        <is>
          <t xml:space="preserve">Мобильные аксессуары</t>
        </is>
      </c>
      <c r="B761" s="314" t="str">
        <f>'Мобильные аксессуары'!A6&amp;""</f>
        <v>PSC-A2</v>
      </c>
      <c r="C761" s="315" t="str">
        <f>'Мобильные аксессуары'!C6&amp;""</f>
        <v>Smart USB Cable для безопасной зарядки гаджетов и проверки емкости аккумуляторов, в т.ч. переносных (пауэрбанков)</v>
      </c>
      <c r="D761" s="316" t="str">
        <f>IF('Мобильные аксессуары'!I6="+","есть",IF('Мобильные аксессуары'!I6="-","нет",""))</f>
        <v>есть</v>
      </c>
      <c r="E761" s="317"/>
      <c r="F761" s="318">
        <f>IF(N('Мобильные аксессуары'!H6)&lt;=0,"по запросу",CHOOSE($K$3,IF(N('Мобильные аксессуары'!F6)&gt;0,N('Мобильные аксессуары'!F6),N('Мобильные аксессуары'!H6)),IF(N('Мобильные аксессуары'!G6)&gt;0,N('Мобильные аксессуары'!G6),N('Мобильные аксессуары'!H6)),N('Мобильные аксессуары'!H6)))</f>
        <v>1625.5</v>
      </c>
      <c r="G761" s="319" t="str">
        <f>IF(I761&lt;=0,"",IF(ISNUMBER(F761),I761*F761,"по запросу"))</f>
        <v/>
      </c>
      <c r="H761" s="320">
        <f>N('Мобильные аксессуары'!J6)</f>
        <v>0</v>
      </c>
      <c r="I761" s="320">
        <f>IF(N(E761)&gt;0,N(E761),H761)</f>
        <v>0</v>
      </c>
      <c r="J761" s="320">
        <f>I761*IF(N('Мобильные аксессуары'!F6)&gt;0,N('Мобильные аксессуары'!F6),N('Мобильные аксессуары'!H6))</f>
        <v>0</v>
      </c>
      <c r="K761" s="320">
        <f>I761*IF(N('Мобильные аксессуары'!G6)&gt;0,N('Мобильные аксессуары'!G6),N('Мобильные аксессуары'!H6))</f>
        <v>0</v>
      </c>
      <c r="L761" s="320">
        <f>N(L760)+(N(I761)&gt;0)</f>
        <v>0</v>
      </c>
    </row>
    <row r="762">
      <c r="A762" s="321" t="inlineStr">
        <is>
          <t xml:space="preserve">Мобильные аксессуары</t>
        </is>
      </c>
      <c r="B762" s="314" t="str">
        <f>'Мобильные аксессуары'!A8&amp;""</f>
        <v>Blade 5000 PROMO</v>
      </c>
      <c r="C762" s="315" t="str">
        <f>'Мобильные аксессуары'!C8&amp;""</f>
        <v>Ультра тонкий пауэрбэнк, тип батареи: Li-Polymer (cell UL approval), Емкость: 5000mAh, размер: 150*65*9.6 мм, вес: 121.3 г</v>
      </c>
      <c r="D762" s="316" t="str">
        <f>IF('Мобильные аксессуары'!I8="+","есть",IF('Мобильные аксессуары'!I8="-","нет",""))</f>
        <v>нет</v>
      </c>
      <c r="E762" s="317"/>
      <c r="F762" s="318">
        <f>IF(N('Мобильные аксессуары'!H8)&lt;=0,"по запросу",CHOOSE($K$3,IF(N('Мобильные аксессуары'!F8)&gt;0,N('Мобильные аксессуары'!F8),N('Мобильные аксессуары'!H8)),IF(N('Мобильные аксессуары'!G8)&gt;0,N('Мобильные аксессуары'!G8),N('Мобильные аксессуары'!H8)),N('Мобильные аксессуары'!H8)))</f>
        <v>632.4</v>
      </c>
      <c r="G762" s="319" t="str">
        <f>IF(I762&lt;=0,"",IF(ISNUMBER(F762),I762*F762,"по запросу"))</f>
        <v/>
      </c>
      <c r="H762" s="320">
        <f>N('Мобильные аксессуары'!J8)</f>
        <v>0</v>
      </c>
      <c r="I762" s="320">
        <f>IF(N(E762)&gt;0,N(E762),H762)</f>
        <v>0</v>
      </c>
      <c r="J762" s="320">
        <f>I762*IF(N('Мобильные аксессуары'!F8)&gt;0,N('Мобильные аксессуары'!F8),N('Мобильные аксессуары'!H8))</f>
        <v>0</v>
      </c>
      <c r="K762" s="320">
        <f>I762*IF(N('Мобильные аксессуары'!G8)&gt;0,N('Мобильные аксессуары'!G8),N('Мобильные аксессуары'!H8))</f>
        <v>0</v>
      </c>
      <c r="L762" s="320">
        <f>N(L761)+(N(I762)&gt;0)</f>
        <v>0</v>
      </c>
    </row>
    <row r="763" ht="28" customHeight="1">
      <c r="A763" s="310" t="inlineStr">
        <is>
          <t xml:space="preserve">Тонировочный инструмент</t>
        </is>
      </c>
      <c r="B763" s="310"/>
      <c r="C763" s="310"/>
      <c r="D763" s="310"/>
      <c r="E763" s="310"/>
      <c r="F763" s="310"/>
      <c r="G763" s="310"/>
      <c r="L763" s="320">
        <f>N(L762)+(N(I763)&gt;0)</f>
        <v>0</v>
      </c>
    </row>
    <row r="764" ht="20" customHeight="1">
      <c r="A764" s="321" t="inlineStr">
        <is>
          <t xml:space="preserve">Тонировочный инструмент</t>
        </is>
      </c>
      <c r="B764" s="312" t="inlineStr">
        <is>
          <t xml:space="preserve">Ножи и сменные лезвия</t>
        </is>
      </c>
      <c r="L764" s="320">
        <f>N(L763)+(N(I764)&gt;0)</f>
        <v>0</v>
      </c>
    </row>
    <row r="765">
      <c r="A765" s="321" t="inlineStr">
        <is>
          <t xml:space="preserve">Тонировочный инструмент</t>
        </is>
      </c>
      <c r="B765" s="314" t="str">
        <f>'Тонировочный инструмент'!A5&amp;""</f>
        <v>GT 108</v>
      </c>
      <c r="C765" s="315" t="str">
        <f>'Тонировочный инструмент'!B5&amp;""</f>
        <v>Сменные лезвия для скребка "Triumph", 25 шт.</v>
      </c>
      <c r="D765" s="316" t="str">
        <f>IF('Тонировочный инструмент'!G5="+","есть",IF('Тонировочный инструмент'!G5="-","нет",""))</f>
        <v>есть</v>
      </c>
      <c r="E765" s="317"/>
      <c r="F765" s="318">
        <f>IF(N('Тонировочный инструмент'!F5)&lt;=0,"по запросу",CHOOSE($K$4,IF(N('Тонировочный инструмент'!D5)&gt;0,N('Тонировочный инструмент'!D5),N('Тонировочный инструмент'!F5)),IF(N('Тонировочный инструмент'!E5)&gt;0,N('Тонировочный инструмент'!E5),N('Тонировочный инструмент'!F5)),N('Тонировочный инструмент'!F5)))</f>
        <v>4699.9</v>
      </c>
      <c r="G765" s="319" t="str">
        <f>IF(I765&lt;=0,"",IF(ISNUMBER(F765),I765*F765,"по запросу"))</f>
        <v/>
      </c>
      <c r="H765" s="320">
        <f>N('Тонировочный инструмент'!H5)</f>
        <v>0</v>
      </c>
      <c r="I765" s="320">
        <f>IF(N(E765)&gt;0,N(E765),H765)</f>
        <v>0</v>
      </c>
      <c r="J765" s="320">
        <f>I765*IF(N('Тонировочный инструмент'!D5)&gt;0,N('Тонировочный инструмент'!D5),N('Тонировочный инструмент'!F5))</f>
        <v>0</v>
      </c>
      <c r="K765" s="320">
        <f>I765*IF(N('Тонировочный инструмент'!E5)&gt;0,N('Тонировочный инструмент'!E5),N('Тонировочный инструмент'!F5))</f>
        <v>0</v>
      </c>
      <c r="L765" s="320">
        <f>N(L764)+(N(I765)&gt;0)</f>
        <v>0</v>
      </c>
    </row>
    <row r="766">
      <c r="A766" s="321" t="inlineStr">
        <is>
          <t xml:space="preserve">Тонировочный инструмент</t>
        </is>
      </c>
      <c r="B766" s="314" t="str">
        <f>'Тонировочный инструмент'!A6&amp;""</f>
        <v>GT 115</v>
      </c>
      <c r="C766" s="315" t="str">
        <f>'Тонировочный инструмент'!B6&amp;""</f>
        <v>Сменный лезвия для безопасного ножа GT 125</v>
      </c>
      <c r="D766" s="316" t="str">
        <f>IF('Тонировочный инструмент'!G6="+","есть",IF('Тонировочный инструмент'!G6="-","нет",""))</f>
        <v>есть</v>
      </c>
      <c r="E766" s="317"/>
      <c r="F766" s="318">
        <f>IF(N('Тонировочный инструмент'!F6)&lt;=0,"по запросу",CHOOSE($K$4,IF(N('Тонировочный инструмент'!D6)&gt;0,N('Тонировочный инструмент'!D6),N('Тонировочный инструмент'!F6)),IF(N('Тонировочный инструмент'!E6)&gt;0,N('Тонировочный инструмент'!E6),N('Тонировочный инструмент'!F6)),N('Тонировочный инструмент'!F6)))</f>
        <v>56.1</v>
      </c>
      <c r="G766" s="319" t="str">
        <f>IF(I766&lt;=0,"",IF(ISNUMBER(F766),I766*F766,"по запросу"))</f>
        <v/>
      </c>
      <c r="H766" s="320">
        <f>N('Тонировочный инструмент'!H6)</f>
        <v>0</v>
      </c>
      <c r="I766" s="320">
        <f>IF(N(E766)&gt;0,N(E766),H766)</f>
        <v>0</v>
      </c>
      <c r="J766" s="320">
        <f>I766*IF(N('Тонировочный инструмент'!D6)&gt;0,N('Тонировочный инструмент'!D6),N('Тонировочный инструмент'!F6))</f>
        <v>0</v>
      </c>
      <c r="K766" s="320">
        <f>I766*IF(N('Тонировочный инструмент'!E6)&gt;0,N('Тонировочный инструмент'!E6),N('Тонировочный инструмент'!F6))</f>
        <v>0</v>
      </c>
      <c r="L766" s="320">
        <f>N(L765)+(N(I766)&gt;0)</f>
        <v>0</v>
      </c>
    </row>
    <row r="767">
      <c r="A767" s="321" t="inlineStr">
        <is>
          <t xml:space="preserve">Тонировочный инструмент</t>
        </is>
      </c>
      <c r="B767" s="314" t="str">
        <f>'Тонировочный инструмент'!A7&amp;""</f>
        <v>GT 125</v>
      </c>
      <c r="C767" s="315" t="str">
        <f>'Тонировочный инструмент'!B7&amp;""</f>
        <v>Безопасный нож для раскроя пленки</v>
      </c>
      <c r="D767" s="316" t="str">
        <f>IF('Тонировочный инструмент'!G7="+","есть",IF('Тонировочный инструмент'!G7="-","нет",""))</f>
        <v>есть</v>
      </c>
      <c r="E767" s="317"/>
      <c r="F767" s="318">
        <f>IF(N('Тонировочный инструмент'!F7)&lt;=0,"по запросу",CHOOSE($K$4,IF(N('Тонировочный инструмент'!D7)&gt;0,N('Тонировочный инструмент'!D7),N('Тонировочный инструмент'!F7)),IF(N('Тонировочный инструмент'!E7)&gt;0,N('Тонировочный инструмент'!E7),N('Тонировочный инструмент'!F7)),N('Тонировочный инструмент'!F7)))</f>
        <v>945.9</v>
      </c>
      <c r="G767" s="319" t="str">
        <f>IF(I767&lt;=0,"",IF(ISNUMBER(F767),I767*F767,"по запросу"))</f>
        <v/>
      </c>
      <c r="H767" s="320">
        <f>N('Тонировочный инструмент'!H7)</f>
        <v>0</v>
      </c>
      <c r="I767" s="320">
        <f>IF(N(E767)&gt;0,N(E767),H767)</f>
        <v>0</v>
      </c>
      <c r="J767" s="320">
        <f>I767*IF(N('Тонировочный инструмент'!D7)&gt;0,N('Тонировочный инструмент'!D7),N('Тонировочный инструмент'!F7))</f>
        <v>0</v>
      </c>
      <c r="K767" s="320">
        <f>I767*IF(N('Тонировочный инструмент'!E7)&gt;0,N('Тонировочный инструмент'!E7),N('Тонировочный инструмент'!F7))</f>
        <v>0</v>
      </c>
      <c r="L767" s="320">
        <f>N(L766)+(N(I767)&gt;0)</f>
        <v>0</v>
      </c>
    </row>
    <row r="768">
      <c r="A768" s="321" t="inlineStr">
        <is>
          <t xml:space="preserve">Тонировочный инструмент</t>
        </is>
      </c>
      <c r="B768" s="314" t="str">
        <f>'Тонировочный инструмент'!A8&amp;""</f>
        <v>GT 137</v>
      </c>
      <c r="C768" s="315" t="str">
        <f>'Тонировочный инструмент'!B8&amp;""</f>
        <v>Нержавеющие стальные лезвия для чистки стекла, 100 шт</v>
      </c>
      <c r="D768" s="316" t="str">
        <f>IF('Тонировочный инструмент'!G8="+","есть",IF('Тонировочный инструмент'!G8="-","нет",""))</f>
        <v>есть</v>
      </c>
      <c r="E768" s="317"/>
      <c r="F768" s="318">
        <f>IF(N('Тонировочный инструмент'!F8)&lt;=0,"по запросу",CHOOSE($K$4,IF(N('Тонировочный инструмент'!D8)&gt;0,N('Тонировочный инструмент'!D8),N('Тонировочный инструмент'!F8)),IF(N('Тонировочный инструмент'!E8)&gt;0,N('Тонировочный инструмент'!E8),N('Тонировочный инструмент'!F8)),N('Тонировочный инструмент'!F8)))</f>
        <v>2413.6</v>
      </c>
      <c r="G768" s="319" t="str">
        <f>IF(I768&lt;=0,"",IF(ISNUMBER(F768),I768*F768,"по запросу"))</f>
        <v/>
      </c>
      <c r="H768" s="320">
        <f>N('Тонировочный инструмент'!H8)</f>
        <v>0</v>
      </c>
      <c r="I768" s="320">
        <f>IF(N(E768)&gt;0,N(E768),H768)</f>
        <v>0</v>
      </c>
      <c r="J768" s="320">
        <f>I768*IF(N('Тонировочный инструмент'!D8)&gt;0,N('Тонировочный инструмент'!D8),N('Тонировочный инструмент'!F8))</f>
        <v>0</v>
      </c>
      <c r="K768" s="320">
        <f>I768*IF(N('Тонировочный инструмент'!E8)&gt;0,N('Тонировочный инструмент'!E8),N('Тонировочный инструмент'!F8))</f>
        <v>0</v>
      </c>
      <c r="L768" s="320">
        <f>N(L767)+(N(I768)&gt;0)</f>
        <v>0</v>
      </c>
    </row>
    <row r="769">
      <c r="A769" s="321" t="inlineStr">
        <is>
          <t xml:space="preserve">Тонировочный инструмент</t>
        </is>
      </c>
      <c r="B769" s="314" t="str">
        <f>'Тонировочный инструмент'!A9&amp;""</f>
        <v>GT 139</v>
      </c>
      <c r="C769" s="315" t="str">
        <f>'Тонировочный инструмент'!B9&amp;""</f>
        <v>Пластиковые лезвия для чистки стекла, 100 шт.</v>
      </c>
      <c r="D769" s="316" t="str">
        <f>IF('Тонировочный инструмент'!G9="+","есть",IF('Тонировочный инструмент'!G9="-","нет",""))</f>
        <v>есть</v>
      </c>
      <c r="E769" s="317"/>
      <c r="F769" s="318">
        <f>IF(N('Тонировочный инструмент'!F9)&lt;=0,"по запросу",CHOOSE($K$4,IF(N('Тонировочный инструмент'!D9)&gt;0,N('Тонировочный инструмент'!D9),N('Тонировочный инструмент'!F9)),IF(N('Тонировочный инструмент'!E9)&gt;0,N('Тонировочный инструмент'!E9),N('Тонировочный инструмент'!F9)),N('Тонировочный инструмент'!F9)))</f>
        <v>2098.4</v>
      </c>
      <c r="G769" s="319" t="str">
        <f>IF(I769&lt;=0,"",IF(ISNUMBER(F769),I769*F769,"по запросу"))</f>
        <v/>
      </c>
      <c r="H769" s="320">
        <f>N('Тонировочный инструмент'!H9)</f>
        <v>0</v>
      </c>
      <c r="I769" s="320">
        <f>IF(N(E769)&gt;0,N(E769),H769)</f>
        <v>0</v>
      </c>
      <c r="J769" s="320">
        <f>I769*IF(N('Тонировочный инструмент'!D9)&gt;0,N('Тонировочный инструмент'!D9),N('Тонировочный инструмент'!F9))</f>
        <v>0</v>
      </c>
      <c r="K769" s="320">
        <f>I769*IF(N('Тонировочный инструмент'!E9)&gt;0,N('Тонировочный инструмент'!E9),N('Тонировочный инструмент'!F9))</f>
        <v>0</v>
      </c>
      <c r="L769" s="320">
        <f>N(L768)+(N(I769)&gt;0)</f>
        <v>0</v>
      </c>
    </row>
    <row r="770">
      <c r="A770" s="321" t="inlineStr">
        <is>
          <t xml:space="preserve">Тонировочный инструмент</t>
        </is>
      </c>
      <c r="B770" s="314" t="str">
        <f>'Тонировочный инструмент'!A10&amp;""</f>
        <v>GT 140</v>
      </c>
      <c r="C770" s="315" t="str">
        <f>'Тонировочный инструмент'!B10&amp;""</f>
        <v>Лезвия простые для чистки стекла, 100 шт.</v>
      </c>
      <c r="D770" s="316" t="str">
        <f>IF('Тонировочный инструмент'!G10="+","есть",IF('Тонировочный инструмент'!G10="-","нет",""))</f>
        <v>есть</v>
      </c>
      <c r="E770" s="317"/>
      <c r="F770" s="318">
        <f>IF(N('Тонировочный инструмент'!F10)&lt;=0,"по запросу",CHOOSE($K$4,IF(N('Тонировочный инструмент'!D10)&gt;0,N('Тонировочный инструмент'!D10),N('Тонировочный инструмент'!F10)),IF(N('Тонировочный инструмент'!E10)&gt;0,N('Тонировочный инструмент'!E10),N('Тонировочный инструмент'!F10)),N('Тонировочный инструмент'!F10)))</f>
        <v>1425.7</v>
      </c>
      <c r="G770" s="319" t="str">
        <f>IF(I770&lt;=0,"",IF(ISNUMBER(F770),I770*F770,"по запросу"))</f>
        <v/>
      </c>
      <c r="H770" s="320">
        <f>N('Тонировочный инструмент'!H10)</f>
        <v>0</v>
      </c>
      <c r="I770" s="320">
        <f>IF(N(E770)&gt;0,N(E770),H770)</f>
        <v>0</v>
      </c>
      <c r="J770" s="320">
        <f>I770*IF(N('Тонировочный инструмент'!D10)&gt;0,N('Тонировочный инструмент'!D10),N('Тонировочный инструмент'!F10))</f>
        <v>0</v>
      </c>
      <c r="K770" s="320">
        <f>I770*IF(N('Тонировочный инструмент'!E10)&gt;0,N('Тонировочный инструмент'!E10),N('Тонировочный инструмент'!F10))</f>
        <v>0</v>
      </c>
      <c r="L770" s="320">
        <f>N(L769)+(N(I770)&gt;0)</f>
        <v>0</v>
      </c>
    </row>
    <row r="771">
      <c r="A771" s="321" t="inlineStr">
        <is>
          <t xml:space="preserve">Тонировочный инструмент</t>
        </is>
      </c>
      <c r="B771" s="314" t="str">
        <f>'Тонировочный инструмент'!A11&amp;""</f>
        <v>GT 211</v>
      </c>
      <c r="C771" s="315" t="str">
        <f>'Тонировочный инструмент'!B11&amp;""</f>
        <v>Сменные лезвия для скребка "Triumph" GT 210, 10 шт.</v>
      </c>
      <c r="D771" s="316" t="str">
        <f>IF('Тонировочный инструмент'!G11="+","есть",IF('Тонировочный инструмент'!G11="-","нет",""))</f>
        <v>есть</v>
      </c>
      <c r="E771" s="317"/>
      <c r="F771" s="318">
        <f>IF(N('Тонировочный инструмент'!F11)&lt;=0,"по запросу",CHOOSE($K$4,IF(N('Тонировочный инструмент'!D11)&gt;0,N('Тонировочный инструмент'!D11),N('Тонировочный инструмент'!F11)),IF(N('Тонировочный инструмент'!E11)&gt;0,N('Тонировочный инструмент'!E11),N('Тонировочный инструмент'!F11)),N('Тонировочный инструмент'!F11)))</f>
        <v>555.4</v>
      </c>
      <c r="G771" s="319" t="str">
        <f>IF(I771&lt;=0,"",IF(ISNUMBER(F771),I771*F771,"по запросу"))</f>
        <v/>
      </c>
      <c r="H771" s="320">
        <f>N('Тонировочный инструмент'!H11)</f>
        <v>0</v>
      </c>
      <c r="I771" s="320">
        <f>IF(N(E771)&gt;0,N(E771),H771)</f>
        <v>0</v>
      </c>
      <c r="J771" s="320">
        <f>I771*IF(N('Тонировочный инструмент'!D11)&gt;0,N('Тонировочный инструмент'!D11),N('Тонировочный инструмент'!F11))</f>
        <v>0</v>
      </c>
      <c r="K771" s="320">
        <f>I771*IF(N('Тонировочный инструмент'!E11)&gt;0,N('Тонировочный инструмент'!E11),N('Тонировочный инструмент'!F11))</f>
        <v>0</v>
      </c>
      <c r="L771" s="320">
        <f>N(L770)+(N(I771)&gt;0)</f>
        <v>0</v>
      </c>
    </row>
    <row r="772">
      <c r="A772" s="321" t="inlineStr">
        <is>
          <t xml:space="preserve">Тонировочный инструмент</t>
        </is>
      </c>
      <c r="B772" s="314" t="str">
        <f>'Тонировочный инструмент'!A12&amp;""</f>
        <v>GT 226</v>
      </c>
      <c r="C772" s="315" t="str">
        <f>'Тонировочный инструмент'!B12&amp;""</f>
        <v>Нож "Silver Cutter Olfa"  SVR-2 для раскроя пленки</v>
      </c>
      <c r="D772" s="316" t="str">
        <f>IF('Тонировочный инструмент'!G12="+","есть",IF('Тонировочный инструмент'!G12="-","нет",""))</f>
        <v>есть</v>
      </c>
      <c r="E772" s="317"/>
      <c r="F772" s="318">
        <f>IF(N('Тонировочный инструмент'!F12)&lt;=0,"по запросу",CHOOSE($K$4,IF(N('Тонировочный инструмент'!D12)&gt;0,N('Тонировочный инструмент'!D12),N('Тонировочный инструмент'!F12)),IF(N('Тонировочный инструмент'!E12)&gt;0,N('Тонировочный инструмент'!E12),N('Тонировочный инструмент'!F12)),N('Тонировочный инструмент'!F12)))</f>
        <v>1064.5</v>
      </c>
      <c r="G772" s="319" t="str">
        <f>IF(I772&lt;=0,"",IF(ISNUMBER(F772),I772*F772,"по запросу"))</f>
        <v/>
      </c>
      <c r="H772" s="320">
        <f>N('Тонировочный инструмент'!H12)</f>
        <v>0</v>
      </c>
      <c r="I772" s="320">
        <f>IF(N(E772)&gt;0,N(E772),H772)</f>
        <v>0</v>
      </c>
      <c r="J772" s="320">
        <f>I772*IF(N('Тонировочный инструмент'!D12)&gt;0,N('Тонировочный инструмент'!D12),N('Тонировочный инструмент'!F12))</f>
        <v>0</v>
      </c>
      <c r="K772" s="320">
        <f>I772*IF(N('Тонировочный инструмент'!E12)&gt;0,N('Тонировочный инструмент'!E12),N('Тонировочный инструмент'!F12))</f>
        <v>0</v>
      </c>
      <c r="L772" s="320">
        <f>N(L771)+(N(I772)&gt;0)</f>
        <v>0</v>
      </c>
    </row>
    <row r="773" ht="20" customHeight="1">
      <c r="A773" s="321" t="inlineStr">
        <is>
          <t xml:space="preserve">Тонировочный инструмент</t>
        </is>
      </c>
      <c r="B773" s="312" t="inlineStr">
        <is>
          <t xml:space="preserve">Выгонки</t>
        </is>
      </c>
      <c r="L773" s="320">
        <f>N(L772)+(N(I773)&gt;0)</f>
        <v>0</v>
      </c>
    </row>
    <row r="774">
      <c r="A774" s="321" t="inlineStr">
        <is>
          <t xml:space="preserve">Тонировочный инструмент</t>
        </is>
      </c>
      <c r="B774" s="314" t="str">
        <f>'Тонировочный инструмент'!A14&amp;""</f>
        <v>GT 034</v>
      </c>
      <c r="C774" s="315" t="str">
        <f>'Тонировочный инструмент'!B14&amp;""</f>
        <v>Прозрачная выгонка с держателем, 30см</v>
      </c>
      <c r="D774" s="316" t="str">
        <f>IF('Тонировочный инструмент'!G14="+","есть",IF('Тонировочный инструмент'!G14="-","нет",""))</f>
        <v>есть</v>
      </c>
      <c r="E774" s="317"/>
      <c r="F774" s="318">
        <f>IF(N('Тонировочный инструмент'!F14)&lt;=0,"по запросу",CHOOSE($K$4,IF(N('Тонировочный инструмент'!D14)&gt;0,N('Тонировочный инструмент'!D14),N('Тонировочный инструмент'!F14)),IF(N('Тонировочный инструмент'!E14)&gt;0,N('Тонировочный инструмент'!E14),N('Тонировочный инструмент'!F14)),N('Тонировочный инструмент'!F14)))</f>
        <v>1969.1</v>
      </c>
      <c r="G774" s="319" t="str">
        <f>IF(I774&lt;=0,"",IF(ISNUMBER(F774),I774*F774,"по запросу"))</f>
        <v/>
      </c>
      <c r="H774" s="320">
        <f>N('Тонировочный инструмент'!H14)</f>
        <v>0</v>
      </c>
      <c r="I774" s="320">
        <f>IF(N(E774)&gt;0,N(E774),H774)</f>
        <v>0</v>
      </c>
      <c r="J774" s="320">
        <f>I774*IF(N('Тонировочный инструмент'!D14)&gt;0,N('Тонировочный инструмент'!D14),N('Тонировочный инструмент'!F14))</f>
        <v>0</v>
      </c>
      <c r="K774" s="320">
        <f>I774*IF(N('Тонировочный инструмент'!E14)&gt;0,N('Тонировочный инструмент'!E14),N('Тонировочный инструмент'!F14))</f>
        <v>0</v>
      </c>
      <c r="L774" s="320">
        <f>N(L773)+(N(I774)&gt;0)</f>
        <v>0</v>
      </c>
    </row>
    <row r="775">
      <c r="A775" s="321" t="inlineStr">
        <is>
          <t xml:space="preserve">Тонировочный инструмент</t>
        </is>
      </c>
      <c r="B775" s="314" t="str">
        <f>'Тонировочный инструмент'!A15&amp;""</f>
        <v>GT 042</v>
      </c>
      <c r="C775" s="315" t="str">
        <f>'Тонировочный инструмент'!B15&amp;""</f>
        <v>Серебристая выгонка с металлической ручкой</v>
      </c>
      <c r="D775" s="316" t="str">
        <f>IF('Тонировочный инструмент'!G15="+","есть",IF('Тонировочный инструмент'!G15="-","нет",""))</f>
        <v>нет</v>
      </c>
      <c r="E775" s="317"/>
      <c r="F775" s="318" t="str">
        <f>IF(N('Тонировочный инструмент'!F15)&lt;=0,"по запросу",CHOOSE($K$4,IF(N('Тонировочный инструмент'!D15)&gt;0,N('Тонировочный инструмент'!D15),N('Тонировочный инструмент'!F15)),IF(N('Тонировочный инструмент'!E15)&gt;0,N('Тонировочный инструмент'!E15),N('Тонировочный инструмент'!F15)),N('Тонировочный инструмент'!F15)))</f>
        <v>по запросу</v>
      </c>
      <c r="G775" s="319" t="str">
        <f>IF(I775&lt;=0,"",IF(ISNUMBER(F775),I775*F775,"по запросу"))</f>
        <v/>
      </c>
      <c r="H775" s="320">
        <f>N('Тонировочный инструмент'!H15)</f>
        <v>0</v>
      </c>
      <c r="I775" s="320">
        <f>IF(N(E775)&gt;0,N(E775),H775)</f>
        <v>0</v>
      </c>
      <c r="J775" s="320">
        <f>I775*IF(N('Тонировочный инструмент'!D15)&gt;0,N('Тонировочный инструмент'!D15),N('Тонировочный инструмент'!F15))</f>
        <v>0</v>
      </c>
      <c r="K775" s="320">
        <f>I775*IF(N('Тонировочный инструмент'!E15)&gt;0,N('Тонировочный инструмент'!E15),N('Тонировочный инструмент'!F15))</f>
        <v>0</v>
      </c>
      <c r="L775" s="320">
        <f>N(L774)+(N(I775)&gt;0)</f>
        <v>0</v>
      </c>
    </row>
    <row r="776">
      <c r="A776" s="321" t="inlineStr">
        <is>
          <t xml:space="preserve">Тонировочный инструмент</t>
        </is>
      </c>
      <c r="B776" s="314" t="str">
        <f>'Тонировочный инструмент'!A16&amp;""</f>
        <v>GT 044R</v>
      </c>
      <c r="C776" s="315" t="str">
        <f>'Тонировочный инструмент'!B16&amp;""</f>
        <v>Выгонка красная, 15см</v>
      </c>
      <c r="D776" s="316" t="str">
        <f>IF('Тонировочный инструмент'!G16="+","есть",IF('Тонировочный инструмент'!G16="-","нет",""))</f>
        <v>есть</v>
      </c>
      <c r="E776" s="317"/>
      <c r="F776" s="318">
        <f>IF(N('Тонировочный инструмент'!F16)&lt;=0,"по запросу",CHOOSE($K$4,IF(N('Тонировочный инструмент'!D16)&gt;0,N('Тонировочный инструмент'!D16),N('Тонировочный инструмент'!F16)),IF(N('Тонировочный инструмент'!E16)&gt;0,N('Тонировочный инструмент'!E16),N('Тонировочный инструмент'!F16)),N('Тонировочный инструмент'!F16)))</f>
        <v>635.2</v>
      </c>
      <c r="G776" s="319" t="str">
        <f>IF(I776&lt;=0,"",IF(ISNUMBER(F776),I776*F776,"по запросу"))</f>
        <v/>
      </c>
      <c r="H776" s="320">
        <f>N('Тонировочный инструмент'!H16)</f>
        <v>0</v>
      </c>
      <c r="I776" s="320">
        <f>IF(N(E776)&gt;0,N(E776),H776)</f>
        <v>0</v>
      </c>
      <c r="J776" s="320">
        <f>I776*IF(N('Тонировочный инструмент'!D16)&gt;0,N('Тонировочный инструмент'!D16),N('Тонировочный инструмент'!F16))</f>
        <v>0</v>
      </c>
      <c r="K776" s="320">
        <f>I776*IF(N('Тонировочный инструмент'!E16)&gt;0,N('Тонировочный инструмент'!E16),N('Тонировочный инструмент'!F16))</f>
        <v>0</v>
      </c>
      <c r="L776" s="320">
        <f>N(L775)+(N(I776)&gt;0)</f>
        <v>0</v>
      </c>
    </row>
    <row r="777">
      <c r="A777" s="321" t="inlineStr">
        <is>
          <t xml:space="preserve">Тонировочный инструмент</t>
        </is>
      </c>
      <c r="B777" s="314" t="str">
        <f>'Тонировочный инструмент'!A17&amp;""</f>
        <v>GT 044BLK</v>
      </c>
      <c r="C777" s="315" t="str">
        <f>'Тонировочный инструмент'!B17&amp;""</f>
        <v>Выгонка черная, 15см</v>
      </c>
      <c r="D777" s="316" t="str">
        <f>IF('Тонировочный инструмент'!G17="+","есть",IF('Тонировочный инструмент'!G17="-","нет",""))</f>
        <v>есть</v>
      </c>
      <c r="E777" s="317"/>
      <c r="F777" s="318">
        <f>IF(N('Тонировочный инструмент'!F17)&lt;=0,"по запросу",CHOOSE($K$4,IF(N('Тонировочный инструмент'!D17)&gt;0,N('Тонировочный инструмент'!D17),N('Тонировочный инструмент'!F17)),IF(N('Тонировочный инструмент'!E17)&gt;0,N('Тонировочный инструмент'!E17),N('Тонировочный инструмент'!F17)),N('Тонировочный инструмент'!F17)))</f>
        <v>392.3</v>
      </c>
      <c r="G777" s="319" t="str">
        <f>IF(I777&lt;=0,"",IF(ISNUMBER(F777),I777*F777,"по запросу"))</f>
        <v/>
      </c>
      <c r="H777" s="320">
        <f>N('Тонировочный инструмент'!H17)</f>
        <v>0</v>
      </c>
      <c r="I777" s="320">
        <f>IF(N(E777)&gt;0,N(E777),H777)</f>
        <v>0</v>
      </c>
      <c r="J777" s="320">
        <f>I777*IF(N('Тонировочный инструмент'!D17)&gt;0,N('Тонировочный инструмент'!D17),N('Тонировочный инструмент'!F17))</f>
        <v>0</v>
      </c>
      <c r="K777" s="320">
        <f>I777*IF(N('Тонировочный инструмент'!E17)&gt;0,N('Тонировочный инструмент'!E17),N('Тонировочный инструмент'!F17))</f>
        <v>0</v>
      </c>
      <c r="L777" s="320">
        <f>N(L776)+(N(I777)&gt;0)</f>
        <v>0</v>
      </c>
    </row>
    <row r="778">
      <c r="A778" s="321" t="inlineStr">
        <is>
          <t xml:space="preserve">Тонировочный инструмент</t>
        </is>
      </c>
      <c r="B778" s="314" t="str">
        <f>'Тонировочный инструмент'!A18&amp;""</f>
        <v>GT 061</v>
      </c>
      <c r="C778" s="315" t="str">
        <f>'Тонировочный инструмент'!B18&amp;""</f>
        <v>Полиуретановая прозрачная выгонка для GT 064, 20см</v>
      </c>
      <c r="D778" s="316" t="str">
        <f>IF('Тонировочный инструмент'!G18="+","есть",IF('Тонировочный инструмент'!G18="-","нет",""))</f>
        <v>есть</v>
      </c>
      <c r="E778" s="317"/>
      <c r="F778" s="318">
        <f>IF(N('Тонировочный инструмент'!F18)&lt;=0,"по запросу",CHOOSE($K$4,IF(N('Тонировочный инструмент'!D18)&gt;0,N('Тонировочный инструмент'!D18),N('Тонировочный инструмент'!F18)),IF(N('Тонировочный инструмент'!E18)&gt;0,N('Тонировочный инструмент'!E18),N('Тонировочный инструмент'!F18)),N('Тонировочный инструмент'!F18)))</f>
        <v>2339.8</v>
      </c>
      <c r="G778" s="319" t="str">
        <f>IF(I778&lt;=0,"",IF(ISNUMBER(F778),I778*F778,"по запросу"))</f>
        <v/>
      </c>
      <c r="H778" s="320">
        <f>N('Тонировочный инструмент'!H18)</f>
        <v>0</v>
      </c>
      <c r="I778" s="320">
        <f>IF(N(E778)&gt;0,N(E778),H778)</f>
        <v>0</v>
      </c>
      <c r="J778" s="320">
        <f>I778*IF(N('Тонировочный инструмент'!D18)&gt;0,N('Тонировочный инструмент'!D18),N('Тонировочный инструмент'!F18))</f>
        <v>0</v>
      </c>
      <c r="K778" s="320">
        <f>I778*IF(N('Тонировочный инструмент'!E18)&gt;0,N('Тонировочный инструмент'!E18),N('Тонировочный инструмент'!F18))</f>
        <v>0</v>
      </c>
      <c r="L778" s="320">
        <f>N(L777)+(N(I778)&gt;0)</f>
        <v>0</v>
      </c>
    </row>
    <row r="779">
      <c r="A779" s="321" t="inlineStr">
        <is>
          <t xml:space="preserve">Тонировочный инструмент</t>
        </is>
      </c>
      <c r="B779" s="314" t="str">
        <f>'Тонировочный инструмент'!A19&amp;""</f>
        <v>GT 062</v>
      </c>
      <c r="C779" s="315" t="str">
        <f>'Тонировочный инструмент'!B19&amp;""</f>
        <v>Выгонка металлическая с жесткой вставкой, 15см</v>
      </c>
      <c r="D779" s="316" t="str">
        <f>IF('Тонировочный инструмент'!G19="+","есть",IF('Тонировочный инструмент'!G19="-","нет",""))</f>
        <v>есть</v>
      </c>
      <c r="E779" s="317"/>
      <c r="F779" s="318">
        <f>IF(N('Тонировочный инструмент'!F19)&lt;=0,"по запросу",CHOOSE($K$4,IF(N('Тонировочный инструмент'!D19)&gt;0,N('Тонировочный инструмент'!D19),N('Тонировочный инструмент'!F19)),IF(N('Тонировочный инструмент'!E19)&gt;0,N('Тонировочный инструмент'!E19),N('Тонировочный инструмент'!F19)),N('Тонировочный инструмент'!F19)))</f>
        <v>6245.5</v>
      </c>
      <c r="G779" s="319" t="str">
        <f>IF(I779&lt;=0,"",IF(ISNUMBER(F779),I779*F779,"по запросу"))</f>
        <v/>
      </c>
      <c r="H779" s="320">
        <f>N('Тонировочный инструмент'!H19)</f>
        <v>0</v>
      </c>
      <c r="I779" s="320">
        <f>IF(N(E779)&gt;0,N(E779),H779)</f>
        <v>0</v>
      </c>
      <c r="J779" s="320">
        <f>I779*IF(N('Тонировочный инструмент'!D19)&gt;0,N('Тонировочный инструмент'!D19),N('Тонировочный инструмент'!F19))</f>
        <v>0</v>
      </c>
      <c r="K779" s="320">
        <f>I779*IF(N('Тонировочный инструмент'!E19)&gt;0,N('Тонировочный инструмент'!E19),N('Тонировочный инструмент'!F19))</f>
        <v>0</v>
      </c>
      <c r="L779" s="320">
        <f>N(L778)+(N(I779)&gt;0)</f>
        <v>0</v>
      </c>
    </row>
    <row r="780">
      <c r="A780" s="321" t="inlineStr">
        <is>
          <t xml:space="preserve">Тонировочный инструмент</t>
        </is>
      </c>
      <c r="B780" s="314" t="str">
        <f>'Тонировочный инструмент'!A20&amp;""</f>
        <v>GT 063</v>
      </c>
      <c r="C780" s="315" t="str">
        <f>'Тонировочный инструмент'!B20&amp;""</f>
        <v>Полиуретановая прозрачная выгонка для GT 062, 15см</v>
      </c>
      <c r="D780" s="316" t="str">
        <f>IF('Тонировочный инструмент'!G20="+","есть",IF('Тонировочный инструмент'!G20="-","нет",""))</f>
        <v>есть</v>
      </c>
      <c r="E780" s="317"/>
      <c r="F780" s="318">
        <f>IF(N('Тонировочный инструмент'!F20)&lt;=0,"по запросу",CHOOSE($K$4,IF(N('Тонировочный инструмент'!D20)&gt;0,N('Тонировочный инструмент'!D20),N('Тонировочный инструмент'!F20)),IF(N('Тонировочный инструмент'!E20)&gt;0,N('Тонировочный инструмент'!E20),N('Тонировочный инструмент'!F20)),N('Тонировочный инструмент'!F20)))</f>
        <v>1799.2</v>
      </c>
      <c r="G780" s="319" t="str">
        <f>IF(I780&lt;=0,"",IF(ISNUMBER(F780),I780*F780,"по запросу"))</f>
        <v/>
      </c>
      <c r="H780" s="320">
        <f>N('Тонировочный инструмент'!H20)</f>
        <v>0</v>
      </c>
      <c r="I780" s="320">
        <f>IF(N(E780)&gt;0,N(E780),H780)</f>
        <v>0</v>
      </c>
      <c r="J780" s="320">
        <f>I780*IF(N('Тонировочный инструмент'!D20)&gt;0,N('Тонировочный инструмент'!D20),N('Тонировочный инструмент'!F20))</f>
        <v>0</v>
      </c>
      <c r="K780" s="320">
        <f>I780*IF(N('Тонировочный инструмент'!E20)&gt;0,N('Тонировочный инструмент'!E20),N('Тонировочный инструмент'!F20))</f>
        <v>0</v>
      </c>
      <c r="L780" s="320">
        <f>N(L779)+(N(I780)&gt;0)</f>
        <v>0</v>
      </c>
    </row>
    <row r="781">
      <c r="A781" s="321" t="inlineStr">
        <is>
          <t xml:space="preserve">Тонировочный инструмент</t>
        </is>
      </c>
      <c r="B781" s="314" t="str">
        <f>'Тонировочный инструмент'!A21&amp;""</f>
        <v>GT 064</v>
      </c>
      <c r="C781" s="315" t="str">
        <f>'Тонировочный инструмент'!B21&amp;""</f>
        <v>Выгонка металлическая с жесткой вставкой, 20см</v>
      </c>
      <c r="D781" s="316" t="str">
        <f>IF('Тонировочный инструмент'!G21="+","есть",IF('Тонировочный инструмент'!G21="-","нет",""))</f>
        <v>есть</v>
      </c>
      <c r="E781" s="317"/>
      <c r="F781" s="318">
        <f>IF(N('Тонировочный инструмент'!F21)&lt;=0,"по запросу",CHOOSE($K$4,IF(N('Тонировочный инструмент'!D21)&gt;0,N('Тонировочный инструмент'!D21),N('Тонировочный инструмент'!F21)),IF(N('Тонировочный инструмент'!E21)&gt;0,N('Тонировочный инструмент'!E21),N('Тонировочный инструмент'!F21)),N('Тонировочный инструмент'!F21)))</f>
        <v>4226</v>
      </c>
      <c r="G781" s="319" t="str">
        <f>IF(I781&lt;=0,"",IF(ISNUMBER(F781),I781*F781,"по запросу"))</f>
        <v/>
      </c>
      <c r="H781" s="320">
        <f>N('Тонировочный инструмент'!H21)</f>
        <v>0</v>
      </c>
      <c r="I781" s="320">
        <f>IF(N(E781)&gt;0,N(E781),H781)</f>
        <v>0</v>
      </c>
      <c r="J781" s="320">
        <f>I781*IF(N('Тонировочный инструмент'!D21)&gt;0,N('Тонировочный инструмент'!D21),N('Тонировочный инструмент'!F21))</f>
        <v>0</v>
      </c>
      <c r="K781" s="320">
        <f>I781*IF(N('Тонировочный инструмент'!E21)&gt;0,N('Тонировочный инструмент'!E21),N('Тонировочный инструмент'!F21))</f>
        <v>0</v>
      </c>
      <c r="L781" s="320">
        <f>N(L780)+(N(I781)&gt;0)</f>
        <v>0</v>
      </c>
    </row>
    <row r="782">
      <c r="A782" s="321" t="inlineStr">
        <is>
          <t xml:space="preserve">Тонировочный инструмент</t>
        </is>
      </c>
      <c r="B782" s="314" t="str">
        <f>'Тонировочный инструмент'!A22&amp;""</f>
        <v>GT 066</v>
      </c>
      <c r="C782" s="315" t="str">
        <f>'Тонировочный инструмент'!B22&amp;""</f>
        <v>Прозрачная выгонка (большая)</v>
      </c>
      <c r="D782" s="316" t="str">
        <f>IF('Тонировочный инструмент'!G22="+","есть",IF('Тонировочный инструмент'!G22="-","нет",""))</f>
        <v>есть</v>
      </c>
      <c r="E782" s="317"/>
      <c r="F782" s="318">
        <f>IF(N('Тонировочный инструмент'!F22)&lt;=0,"по запросу",CHOOSE($K$4,IF(N('Тонировочный инструмент'!D22)&gt;0,N('Тонировочный инструмент'!D22),N('Тонировочный инструмент'!F22)),IF(N('Тонировочный инструмент'!E22)&gt;0,N('Тонировочный инструмент'!E22),N('Тонировочный инструмент'!F22)),N('Тонировочный инструмент'!F22)))</f>
        <v>784.5</v>
      </c>
      <c r="G782" s="319" t="str">
        <f>IF(I782&lt;=0,"",IF(ISNUMBER(F782),I782*F782,"по запросу"))</f>
        <v/>
      </c>
      <c r="H782" s="320">
        <f>N('Тонировочный инструмент'!H22)</f>
        <v>0</v>
      </c>
      <c r="I782" s="320">
        <f>IF(N(E782)&gt;0,N(E782),H782)</f>
        <v>0</v>
      </c>
      <c r="J782" s="320">
        <f>I782*IF(N('Тонировочный инструмент'!D22)&gt;0,N('Тонировочный инструмент'!D22),N('Тонировочный инструмент'!F22))</f>
        <v>0</v>
      </c>
      <c r="K782" s="320">
        <f>I782*IF(N('Тонировочный инструмент'!E22)&gt;0,N('Тонировочный инструмент'!E22),N('Тонировочный инструмент'!F22))</f>
        <v>0</v>
      </c>
      <c r="L782" s="320">
        <f>N(L781)+(N(I782)&gt;0)</f>
        <v>0</v>
      </c>
    </row>
    <row r="783">
      <c r="A783" s="321" t="inlineStr">
        <is>
          <t xml:space="preserve">Тонировочный инструмент</t>
        </is>
      </c>
      <c r="B783" s="314" t="str">
        <f>'Тонировочный инструмент'!A23&amp;""</f>
        <v>GT 067</v>
      </c>
      <c r="C783" s="315" t="str">
        <f>'Тонировочный инструмент'!B23&amp;""</f>
        <v>Прозрачная выгонка (малая)</v>
      </c>
      <c r="D783" s="316" t="str">
        <f>IF('Тонировочный инструмент'!G23="+","есть",IF('Тонировочный инструмент'!G23="-","нет",""))</f>
        <v>есть</v>
      </c>
      <c r="E783" s="317"/>
      <c r="F783" s="318">
        <f>IF(N('Тонировочный инструмент'!F23)&lt;=0,"по запросу",CHOOSE($K$4,IF(N('Тонировочный инструмент'!D23)&gt;0,N('Тонировочный инструмент'!D23),N('Тонировочный инструмент'!F23)),IF(N('Тонировочный инструмент'!E23)&gt;0,N('Тонировочный инструмент'!E23),N('Тонировочный инструмент'!F23)),N('Тонировочный инструмент'!F23)))</f>
        <v>380.2</v>
      </c>
      <c r="G783" s="319" t="str">
        <f>IF(I783&lt;=0,"",IF(ISNUMBER(F783),I783*F783,"по запросу"))</f>
        <v/>
      </c>
      <c r="H783" s="320">
        <f>N('Тонировочный инструмент'!H23)</f>
        <v>0</v>
      </c>
      <c r="I783" s="320">
        <f>IF(N(E783)&gt;0,N(E783),H783)</f>
        <v>0</v>
      </c>
      <c r="J783" s="320">
        <f>I783*IF(N('Тонировочный инструмент'!D23)&gt;0,N('Тонировочный инструмент'!D23),N('Тонировочный инструмент'!F23))</f>
        <v>0</v>
      </c>
      <c r="K783" s="320">
        <f>I783*IF(N('Тонировочный инструмент'!E23)&gt;0,N('Тонировочный инструмент'!E23),N('Тонировочный инструмент'!F23))</f>
        <v>0</v>
      </c>
      <c r="L783" s="320">
        <f>N(L782)+(N(I783)&gt;0)</f>
        <v>0</v>
      </c>
    </row>
    <row r="784">
      <c r="A784" s="321" t="inlineStr">
        <is>
          <t xml:space="preserve">Тонировочный инструмент</t>
        </is>
      </c>
      <c r="B784" s="314" t="str">
        <f>'Тонировочный инструмент'!A24&amp;""</f>
        <v>GT 069</v>
      </c>
      <c r="C784" s="315" t="str">
        <f>'Тонировочный инструмент'!B24&amp;""</f>
        <v>Полиуретановая остроугольная выгонка для GT 062, 15см</v>
      </c>
      <c r="D784" s="316" t="str">
        <f>IF('Тонировочный инструмент'!G24="+","есть",IF('Тонировочный инструмент'!G24="-","нет",""))</f>
        <v>нет</v>
      </c>
      <c r="E784" s="317"/>
      <c r="F784" s="318" t="str">
        <f>IF(N('Тонировочный инструмент'!F24)&lt;=0,"по запросу",CHOOSE($K$4,IF(N('Тонировочный инструмент'!D24)&gt;0,N('Тонировочный инструмент'!D24),N('Тонировочный инструмент'!F24)),IF(N('Тонировочный инструмент'!E24)&gt;0,N('Тонировочный инструмент'!E24),N('Тонировочный инструмент'!F24)),N('Тонировочный инструмент'!F24)))</f>
        <v>по запросу</v>
      </c>
      <c r="G784" s="319" t="str">
        <f>IF(I784&lt;=0,"",IF(ISNUMBER(F784),I784*F784,"по запросу"))</f>
        <v/>
      </c>
      <c r="H784" s="320">
        <f>N('Тонировочный инструмент'!H24)</f>
        <v>0</v>
      </c>
      <c r="I784" s="320">
        <f>IF(N(E784)&gt;0,N(E784),H784)</f>
        <v>0</v>
      </c>
      <c r="J784" s="320">
        <f>I784*IF(N('Тонировочный инструмент'!D24)&gt;0,N('Тонировочный инструмент'!D24),N('Тонировочный инструмент'!F24))</f>
        <v>0</v>
      </c>
      <c r="K784" s="320">
        <f>I784*IF(N('Тонировочный инструмент'!E24)&gt;0,N('Тонировочный инструмент'!E24),N('Тонировочный инструмент'!F24))</f>
        <v>0</v>
      </c>
      <c r="L784" s="320">
        <f>N(L783)+(N(I784)&gt;0)</f>
        <v>0</v>
      </c>
    </row>
    <row r="785">
      <c r="A785" s="321" t="inlineStr">
        <is>
          <t xml:space="preserve">Тонировочный инструмент</t>
        </is>
      </c>
      <c r="B785" s="314" t="str">
        <f>'Тонировочный инструмент'!A25&amp;""</f>
        <v>GT 079</v>
      </c>
      <c r="C785" s="315" t="str">
        <f>'Тонировочный инструмент'!B25&amp;""</f>
        <v>Золотая выгонка для разглаживания пленки при разогреве феном, 10см</v>
      </c>
      <c r="D785" s="316" t="str">
        <f>IF('Тонировочный инструмент'!G25="+","есть",IF('Тонировочный инструмент'!G25="-","нет",""))</f>
        <v>есть</v>
      </c>
      <c r="E785" s="317"/>
      <c r="F785" s="318">
        <f>IF(N('Тонировочный инструмент'!F25)&lt;=0,"по запросу",CHOOSE($K$4,IF(N('Тонировочный инструмент'!D25)&gt;0,N('Тонировочный инструмент'!D25),N('Тонировочный инструмент'!F25)),IF(N('Тонировочный инструмент'!E25)&gt;0,N('Тонировочный инструмент'!E25),N('Тонировочный инструмент'!F25)),N('Тонировочный инструмент'!F25)))</f>
        <v>1039.1</v>
      </c>
      <c r="G785" s="319" t="str">
        <f>IF(I785&lt;=0,"",IF(ISNUMBER(F785),I785*F785,"по запросу"))</f>
        <v/>
      </c>
      <c r="H785" s="320">
        <f>N('Тонировочный инструмент'!H25)</f>
        <v>0</v>
      </c>
      <c r="I785" s="320">
        <f>IF(N(E785)&gt;0,N(E785),H785)</f>
        <v>0</v>
      </c>
      <c r="J785" s="320">
        <f>I785*IF(N('Тонировочный инструмент'!D25)&gt;0,N('Тонировочный инструмент'!D25),N('Тонировочный инструмент'!F25))</f>
        <v>0</v>
      </c>
      <c r="K785" s="320">
        <f>I785*IF(N('Тонировочный инструмент'!E25)&gt;0,N('Тонировочный инструмент'!E25),N('Тонировочный инструмент'!F25))</f>
        <v>0</v>
      </c>
      <c r="L785" s="320">
        <f>N(L784)+(N(I785)&gt;0)</f>
        <v>0</v>
      </c>
    </row>
    <row r="786">
      <c r="A786" s="321" t="inlineStr">
        <is>
          <t xml:space="preserve">Тонировочный инструмент</t>
        </is>
      </c>
      <c r="B786" s="314" t="str">
        <f>'Тонировочный инструмент'!A26&amp;""</f>
        <v>GT 080</v>
      </c>
      <c r="C786" s="315" t="str">
        <f>'Тонировочный инструмент'!B26&amp;""</f>
        <v>Синяя выгонка для разглаживания пленки при разогреве феном, 10см</v>
      </c>
      <c r="D786" s="316" t="str">
        <f>IF('Тонировочный инструмент'!G26="+","есть",IF('Тонировочный инструмент'!G26="-","нет",""))</f>
        <v>есть</v>
      </c>
      <c r="E786" s="317"/>
      <c r="F786" s="318">
        <f>IF(N('Тонировочный инструмент'!F26)&lt;=0,"по запросу",CHOOSE($K$4,IF(N('Тонировочный инструмент'!D26)&gt;0,N('Тонировочный инструмент'!D26),N('Тонировочный инструмент'!F26)),IF(N('Тонировочный инструмент'!E26)&gt;0,N('Тонировочный инструмент'!E26),N('Тонировочный инструмент'!F26)),N('Тонировочный инструмент'!F26)))</f>
        <v>257</v>
      </c>
      <c r="G786" s="319" t="str">
        <f>IF(I786&lt;=0,"",IF(ISNUMBER(F786),I786*F786,"по запросу"))</f>
        <v/>
      </c>
      <c r="H786" s="320">
        <f>N('Тонировочный инструмент'!H26)</f>
        <v>0</v>
      </c>
      <c r="I786" s="320">
        <f>IF(N(E786)&gt;0,N(E786),H786)</f>
        <v>0</v>
      </c>
      <c r="J786" s="320">
        <f>I786*IF(N('Тонировочный инструмент'!D26)&gt;0,N('Тонировочный инструмент'!D26),N('Тонировочный инструмент'!F26))</f>
        <v>0</v>
      </c>
      <c r="K786" s="320">
        <f>I786*IF(N('Тонировочный инструмент'!E26)&gt;0,N('Тонировочный инструмент'!E26),N('Тонировочный инструмент'!F26))</f>
        <v>0</v>
      </c>
      <c r="L786" s="320">
        <f>N(L785)+(N(I786)&gt;0)</f>
        <v>0</v>
      </c>
    </row>
    <row r="787">
      <c r="A787" s="321" t="inlineStr">
        <is>
          <t xml:space="preserve">Тонировочный инструмент</t>
        </is>
      </c>
      <c r="B787" s="314" t="str">
        <f>'Тонировочный инструмент'!A27&amp;""</f>
        <v>GT 083</v>
      </c>
      <c r="C787" s="315" t="str">
        <f>'Тонировочный инструмент'!B27&amp;""</f>
        <v>Чиззлер тефлоновый для устранения пыли с помощью фена</v>
      </c>
      <c r="D787" s="316" t="str">
        <f>IF('Тонировочный инструмент'!G27="+","есть",IF('Тонировочный инструмент'!G27="-","нет",""))</f>
        <v>есть</v>
      </c>
      <c r="E787" s="317"/>
      <c r="F787" s="318">
        <f>IF(N('Тонировочный инструмент'!F27)&lt;=0,"по запросу",CHOOSE($K$4,IF(N('Тонировочный инструмент'!D27)&gt;0,N('Тонировочный инструмент'!D27),N('Тонировочный инструмент'!F27)),IF(N('Тонировочный инструмент'!E27)&gt;0,N('Тонировочный инструмент'!E27),N('Тонировочный инструмент'!F27)),N('Тонировочный инструмент'!F27)))</f>
        <v>135.4</v>
      </c>
      <c r="G787" s="319" t="str">
        <f>IF(I787&lt;=0,"",IF(ISNUMBER(F787),I787*F787,"по запросу"))</f>
        <v/>
      </c>
      <c r="H787" s="320">
        <f>N('Тонировочный инструмент'!H27)</f>
        <v>0</v>
      </c>
      <c r="I787" s="320">
        <f>IF(N(E787)&gt;0,N(E787),H787)</f>
        <v>0</v>
      </c>
      <c r="J787" s="320">
        <f>I787*IF(N('Тонировочный инструмент'!D27)&gt;0,N('Тонировочный инструмент'!D27),N('Тонировочный инструмент'!F27))</f>
        <v>0</v>
      </c>
      <c r="K787" s="320">
        <f>I787*IF(N('Тонировочный инструмент'!E27)&gt;0,N('Тонировочный инструмент'!E27),N('Тонировочный инструмент'!F27))</f>
        <v>0</v>
      </c>
      <c r="L787" s="320">
        <f>N(L786)+(N(I787)&gt;0)</f>
        <v>0</v>
      </c>
    </row>
    <row r="788">
      <c r="A788" s="321" t="inlineStr">
        <is>
          <t xml:space="preserve">Тонировочный инструмент</t>
        </is>
      </c>
      <c r="B788" s="314" t="str">
        <f>'Тонировочный инструмент'!A28&amp;""</f>
        <v>GT 083W</v>
      </c>
      <c r="C788" s="315" t="str">
        <f>'Тонировочный инструмент'!B28&amp;""</f>
        <v>Чиззлер тефлоновый для устранения пыли с помощью фена, белый</v>
      </c>
      <c r="D788" s="316" t="str">
        <f>IF('Тонировочный инструмент'!G28="+","есть",IF('Тонировочный инструмент'!G28="-","нет",""))</f>
        <v>есть</v>
      </c>
      <c r="E788" s="317"/>
      <c r="F788" s="318">
        <f>IF(N('Тонировочный инструмент'!F28)&lt;=0,"по запросу",CHOOSE($K$4,IF(N('Тонировочный инструмент'!D28)&gt;0,N('Тонировочный инструмент'!D28),N('Тонировочный инструмент'!F28)),IF(N('Тонировочный инструмент'!E28)&gt;0,N('Тонировочный инструмент'!E28),N('Тонировочный инструмент'!F28)),N('Тонировочный инструмент'!F28)))</f>
        <v>119.2</v>
      </c>
      <c r="G788" s="319" t="str">
        <f>IF(I788&lt;=0,"",IF(ISNUMBER(F788),I788*F788,"по запросу"))</f>
        <v/>
      </c>
      <c r="H788" s="320">
        <f>N('Тонировочный инструмент'!H28)</f>
        <v>0</v>
      </c>
      <c r="I788" s="320">
        <f>IF(N(E788)&gt;0,N(E788),H788)</f>
        <v>0</v>
      </c>
      <c r="J788" s="320">
        <f>I788*IF(N('Тонировочный инструмент'!D28)&gt;0,N('Тонировочный инструмент'!D28),N('Тонировочный инструмент'!F28))</f>
        <v>0</v>
      </c>
      <c r="K788" s="320">
        <f>I788*IF(N('Тонировочный инструмент'!E28)&gt;0,N('Тонировочный инструмент'!E28),N('Тонировочный инструмент'!F28))</f>
        <v>0</v>
      </c>
      <c r="L788" s="320">
        <f>N(L787)+(N(I788)&gt;0)</f>
        <v>0</v>
      </c>
    </row>
    <row r="789">
      <c r="A789" s="321" t="inlineStr">
        <is>
          <t xml:space="preserve">Тонировочный инструмент</t>
        </is>
      </c>
      <c r="B789" s="314" t="str">
        <f>'Тонировочный инструмент'!A29&amp;""</f>
        <v>GT 086</v>
      </c>
      <c r="C789" s="315" t="str">
        <f>'Тонировочный инструмент'!B29&amp;""</f>
        <v>Белая тефлон. трапеция для точной подгонки пленки по форме стекла</v>
      </c>
      <c r="D789" s="316" t="str">
        <f>IF('Тонировочный инструмент'!G29="+","есть",IF('Тонировочный инструмент'!G29="-","нет",""))</f>
        <v>нет</v>
      </c>
      <c r="E789" s="317"/>
      <c r="F789" s="318" t="str">
        <f>IF(N('Тонировочный инструмент'!F29)&lt;=0,"по запросу",CHOOSE($K$4,IF(N('Тонировочный инструмент'!D29)&gt;0,N('Тонировочный инструмент'!D29),N('Тонировочный инструмент'!F29)),IF(N('Тонировочный инструмент'!E29)&gt;0,N('Тонировочный инструмент'!E29),N('Тонировочный инструмент'!F29)),N('Тонировочный инструмент'!F29)))</f>
        <v>по запросу</v>
      </c>
      <c r="G789" s="319" t="str">
        <f>IF(I789&lt;=0,"",IF(ISNUMBER(F789),I789*F789,"по запросу"))</f>
        <v/>
      </c>
      <c r="H789" s="320">
        <f>N('Тонировочный инструмент'!H29)</f>
        <v>0</v>
      </c>
      <c r="I789" s="320">
        <f>IF(N(E789)&gt;0,N(E789),H789)</f>
        <v>0</v>
      </c>
      <c r="J789" s="320">
        <f>I789*IF(N('Тонировочный инструмент'!D29)&gt;0,N('Тонировочный инструмент'!D29),N('Тонировочный инструмент'!F29))</f>
        <v>0</v>
      </c>
      <c r="K789" s="320">
        <f>I789*IF(N('Тонировочный инструмент'!E29)&gt;0,N('Тонировочный инструмент'!E29),N('Тонировочный инструмент'!F29))</f>
        <v>0</v>
      </c>
      <c r="L789" s="320">
        <f>N(L788)+(N(I789)&gt;0)</f>
        <v>0</v>
      </c>
    </row>
    <row r="790">
      <c r="A790" s="321" t="inlineStr">
        <is>
          <t xml:space="preserve">Тонировочный инструмент</t>
        </is>
      </c>
      <c r="B790" s="314" t="str">
        <f>'Тонировочный инструмент'!A30&amp;""</f>
        <v>GT 086-6B</v>
      </c>
      <c r="C790" s="315" t="str">
        <f>'Тонировочный инструмент'!B30&amp;""</f>
        <v>Черная тефлоновая выгонка (трапеция)</v>
      </c>
      <c r="D790" s="316" t="str">
        <f>IF('Тонировочный инструмент'!G30="+","есть",IF('Тонировочный инструмент'!G30="-","нет",""))</f>
        <v>есть</v>
      </c>
      <c r="E790" s="317"/>
      <c r="F790" s="318">
        <f>IF(N('Тонировочный инструмент'!F30)&lt;=0,"по запросу",CHOOSE($K$4,IF(N('Тонировочный инструмент'!D30)&gt;0,N('Тонировочный инструмент'!D30),N('Тонировочный инструмент'!F30)),IF(N('Тонировочный инструмент'!E30)&gt;0,N('Тонировочный инструмент'!E30),N('Тонировочный инструмент'!F30)),N('Тонировочный инструмент'!F30)))</f>
        <v>408.4</v>
      </c>
      <c r="G790" s="319" t="str">
        <f>IF(I790&lt;=0,"",IF(ISNUMBER(F790),I790*F790,"по запросу"))</f>
        <v/>
      </c>
      <c r="H790" s="320">
        <f>N('Тонировочный инструмент'!H30)</f>
        <v>0</v>
      </c>
      <c r="I790" s="320">
        <f>IF(N(E790)&gt;0,N(E790),H790)</f>
        <v>0</v>
      </c>
      <c r="J790" s="320">
        <f>I790*IF(N('Тонировочный инструмент'!D30)&gt;0,N('Тонировочный инструмент'!D30),N('Тонировочный инструмент'!F30))</f>
        <v>0</v>
      </c>
      <c r="K790" s="320">
        <f>I790*IF(N('Тонировочный инструмент'!E30)&gt;0,N('Тонировочный инструмент'!E30),N('Тонировочный инструмент'!F30))</f>
        <v>0</v>
      </c>
      <c r="L790" s="320">
        <f>N(L789)+(N(I790)&gt;0)</f>
        <v>0</v>
      </c>
    </row>
    <row r="791">
      <c r="A791" s="321" t="inlineStr">
        <is>
          <t xml:space="preserve">Тонировочный инструмент</t>
        </is>
      </c>
      <c r="B791" s="314" t="str">
        <f>'Тонировочный инструмент'!A31&amp;""</f>
        <v>GT 086B</v>
      </c>
      <c r="C791" s="315" t="str">
        <f>'Тонировочный инструмент'!B31&amp;""</f>
        <v>Черная тефлон. трапеция для точной подгонки пленки по форме стекла</v>
      </c>
      <c r="D791" s="316" t="str">
        <f>IF('Тонировочный инструмент'!G31="+","есть",IF('Тонировочный инструмент'!G31="-","нет",""))</f>
        <v>есть</v>
      </c>
      <c r="E791" s="317"/>
      <c r="F791" s="318">
        <f>IF(N('Тонировочный инструмент'!F31)&lt;=0,"по запросу",CHOOSE($K$4,IF(N('Тонировочный инструмент'!D31)&gt;0,N('Тонировочный инструмент'!D31),N('Тонировочный инструмент'!F31)),IF(N('Тонировочный инструмент'!E31)&gt;0,N('Тонировочный инструмент'!E31),N('Тонировочный инструмент'!F31)),N('Тонировочный инструмент'!F31)))</f>
        <v>392.8</v>
      </c>
      <c r="G791" s="319" t="str">
        <f>IF(I791&lt;=0,"",IF(ISNUMBER(F791),I791*F791,"по запросу"))</f>
        <v/>
      </c>
      <c r="H791" s="320">
        <f>N('Тонировочный инструмент'!H31)</f>
        <v>0</v>
      </c>
      <c r="I791" s="320">
        <f>IF(N(E791)&gt;0,N(E791),H791)</f>
        <v>0</v>
      </c>
      <c r="J791" s="320">
        <f>I791*IF(N('Тонировочный инструмент'!D31)&gt;0,N('Тонировочный инструмент'!D31),N('Тонировочный инструмент'!F31))</f>
        <v>0</v>
      </c>
      <c r="K791" s="320">
        <f>I791*IF(N('Тонировочный инструмент'!E31)&gt;0,N('Тонировочный инструмент'!E31),N('Тонировочный инструмент'!F31))</f>
        <v>0</v>
      </c>
      <c r="L791" s="320">
        <f>N(L790)+(N(I791)&gt;0)</f>
        <v>0</v>
      </c>
    </row>
    <row r="792">
      <c r="A792" s="321" t="inlineStr">
        <is>
          <t xml:space="preserve">Тонировочный инструмент</t>
        </is>
      </c>
      <c r="B792" s="314" t="str">
        <f>'Тонировочный инструмент'!A32&amp;""</f>
        <v>GT 086PNK</v>
      </c>
      <c r="C792" s="315" t="str">
        <f>'Тонировочный инструмент'!B32&amp;""</f>
        <v>Розовая тефлон. трапеция для точной подгонки пленки по форме стекла</v>
      </c>
      <c r="D792" s="316" t="str">
        <f>IF('Тонировочный инструмент'!G32="+","есть",IF('Тонировочный инструмент'!G32="-","нет",""))</f>
        <v>есть</v>
      </c>
      <c r="E792" s="317"/>
      <c r="F792" s="318">
        <f>IF(N('Тонировочный инструмент'!F32)&lt;=0,"по запросу",CHOOSE($K$4,IF(N('Тонировочный инструмент'!D32)&gt;0,N('Тонировочный инструмент'!D32),N('Тонировочный инструмент'!F32)),IF(N('Тонировочный инструмент'!E32)&gt;0,N('Тонировочный инструмент'!E32),N('Тонировочный инструмент'!F32)),N('Тонировочный инструмент'!F32)))</f>
        <v>245.1</v>
      </c>
      <c r="G792" s="319" t="str">
        <f>IF(I792&lt;=0,"",IF(ISNUMBER(F792),I792*F792,"по запросу"))</f>
        <v/>
      </c>
      <c r="H792" s="320">
        <f>N('Тонировочный инструмент'!H32)</f>
        <v>0</v>
      </c>
      <c r="I792" s="320">
        <f>IF(N(E792)&gt;0,N(E792),H792)</f>
        <v>0</v>
      </c>
      <c r="J792" s="320">
        <f>I792*IF(N('Тонировочный инструмент'!D32)&gt;0,N('Тонировочный инструмент'!D32),N('Тонировочный инструмент'!F32))</f>
        <v>0</v>
      </c>
      <c r="K792" s="320">
        <f>I792*IF(N('Тонировочный инструмент'!E32)&gt;0,N('Тонировочный инструмент'!E32),N('Тонировочный инструмент'!F32))</f>
        <v>0</v>
      </c>
      <c r="L792" s="320">
        <f>N(L791)+(N(I792)&gt;0)</f>
        <v>0</v>
      </c>
    </row>
    <row r="793">
      <c r="A793" s="321" t="inlineStr">
        <is>
          <t xml:space="preserve">Тонировочный инструмент</t>
        </is>
      </c>
      <c r="B793" s="314" t="str">
        <f>'Тонировочный инструмент'!A33&amp;""</f>
        <v>GT 086GLD</v>
      </c>
      <c r="C793" s="315" t="str">
        <f>'Тонировочный инструмент'!B33&amp;""</f>
        <v>Золотая тефлон. трапеция для точной подгонки пленки по форме стекла</v>
      </c>
      <c r="D793" s="316" t="str">
        <f>IF('Тонировочный инструмент'!G33="+","есть",IF('Тонировочный инструмент'!G33="-","нет",""))</f>
        <v>есть</v>
      </c>
      <c r="E793" s="317"/>
      <c r="F793" s="318">
        <f>IF(N('Тонировочный инструмент'!F33)&lt;=0,"по запросу",CHOOSE($K$4,IF(N('Тонировочный инструмент'!D33)&gt;0,N('Тонировочный инструмент'!D33),N('Тонировочный инструмент'!F33)),IF(N('Тонировочный инструмент'!E33)&gt;0,N('Тонировочный инструмент'!E33),N('Тонировочный инструмент'!F33)),N('Тонировочный инструмент'!F33)))</f>
        <v>245.1</v>
      </c>
      <c r="G793" s="319" t="str">
        <f>IF(I793&lt;=0,"",IF(ISNUMBER(F793),I793*F793,"по запросу"))</f>
        <v/>
      </c>
      <c r="H793" s="320">
        <f>N('Тонировочный инструмент'!H33)</f>
        <v>0</v>
      </c>
      <c r="I793" s="320">
        <f>IF(N(E793)&gt;0,N(E793),H793)</f>
        <v>0</v>
      </c>
      <c r="J793" s="320">
        <f>I793*IF(N('Тонировочный инструмент'!D33)&gt;0,N('Тонировочный инструмент'!D33),N('Тонировочный инструмент'!F33))</f>
        <v>0</v>
      </c>
      <c r="K793" s="320">
        <f>I793*IF(N('Тонировочный инструмент'!E33)&gt;0,N('Тонировочный инструмент'!E33),N('Тонировочный инструмент'!F33))</f>
        <v>0</v>
      </c>
      <c r="L793" s="320">
        <f>N(L792)+(N(I793)&gt;0)</f>
        <v>0</v>
      </c>
    </row>
    <row r="794">
      <c r="A794" s="321" t="inlineStr">
        <is>
          <t xml:space="preserve">Тонировочный инструмент</t>
        </is>
      </c>
      <c r="B794" s="314" t="str">
        <f>'Тонировочный инструмент'!A34&amp;""</f>
        <v>GT 086BLUE</v>
      </c>
      <c r="C794" s="315" t="str">
        <f>'Тонировочный инструмент'!B34&amp;""</f>
        <v>Синяя тефлон. трапеция для точной подгонки пленки по форме стекла</v>
      </c>
      <c r="D794" s="316" t="str">
        <f>IF('Тонировочный инструмент'!G34="+","есть",IF('Тонировочный инструмент'!G34="-","нет",""))</f>
        <v>есть</v>
      </c>
      <c r="E794" s="317"/>
      <c r="F794" s="318">
        <f>IF(N('Тонировочный инструмент'!F34)&lt;=0,"по запросу",CHOOSE($K$4,IF(N('Тонировочный инструмент'!D34)&gt;0,N('Тонировочный инструмент'!D34),N('Тонировочный инструмент'!F34)),IF(N('Тонировочный инструмент'!E34)&gt;0,N('Тонировочный инструмент'!E34),N('Тонировочный инструмент'!F34)),N('Тонировочный инструмент'!F34)))</f>
        <v>403</v>
      </c>
      <c r="G794" s="319" t="str">
        <f>IF(I794&lt;=0,"",IF(ISNUMBER(F794),I794*F794,"по запросу"))</f>
        <v/>
      </c>
      <c r="H794" s="320">
        <f>N('Тонировочный инструмент'!H34)</f>
        <v>0</v>
      </c>
      <c r="I794" s="320">
        <f>IF(N(E794)&gt;0,N(E794),H794)</f>
        <v>0</v>
      </c>
      <c r="J794" s="320">
        <f>I794*IF(N('Тонировочный инструмент'!D34)&gt;0,N('Тонировочный инструмент'!D34),N('Тонировочный инструмент'!F34))</f>
        <v>0</v>
      </c>
      <c r="K794" s="320">
        <f>I794*IF(N('Тонировочный инструмент'!E34)&gt;0,N('Тонировочный инструмент'!E34),N('Тонировочный инструмент'!F34))</f>
        <v>0</v>
      </c>
      <c r="L794" s="320">
        <f>N(L793)+(N(I794)&gt;0)</f>
        <v>0</v>
      </c>
    </row>
    <row r="795">
      <c r="A795" s="321" t="inlineStr">
        <is>
          <t xml:space="preserve">Тонировочный инструмент</t>
        </is>
      </c>
      <c r="B795" s="314" t="str">
        <f>'Тонировочный инструмент'!A35&amp;""</f>
        <v>GT 087</v>
      </c>
      <c r="C795" s="315" t="str">
        <f>'Тонировочный инструмент'!B35&amp;""</f>
        <v>Желтая выгонка</v>
      </c>
      <c r="D795" s="316" t="str">
        <f>IF('Тонировочный инструмент'!G35="+","есть",IF('Тонировочный инструмент'!G35="-","нет",""))</f>
        <v>нет</v>
      </c>
      <c r="E795" s="317"/>
      <c r="F795" s="318" t="str">
        <f>IF(N('Тонировочный инструмент'!F35)&lt;=0,"по запросу",CHOOSE($K$4,IF(N('Тонировочный инструмент'!D35)&gt;0,N('Тонировочный инструмент'!D35),N('Тонировочный инструмент'!F35)),IF(N('Тонировочный инструмент'!E35)&gt;0,N('Тонировочный инструмент'!E35),N('Тонировочный инструмент'!F35)),N('Тонировочный инструмент'!F35)))</f>
        <v>по запросу</v>
      </c>
      <c r="G795" s="319" t="str">
        <f>IF(I795&lt;=0,"",IF(ISNUMBER(F795),I795*F795,"по запросу"))</f>
        <v/>
      </c>
      <c r="H795" s="320">
        <f>N('Тонировочный инструмент'!H35)</f>
        <v>0</v>
      </c>
      <c r="I795" s="320">
        <f>IF(N(E795)&gt;0,N(E795),H795)</f>
        <v>0</v>
      </c>
      <c r="J795" s="320">
        <f>I795*IF(N('Тонировочный инструмент'!D35)&gt;0,N('Тонировочный инструмент'!D35),N('Тонировочный инструмент'!F35))</f>
        <v>0</v>
      </c>
      <c r="K795" s="320">
        <f>I795*IF(N('Тонировочный инструмент'!E35)&gt;0,N('Тонировочный инструмент'!E35),N('Тонировочный инструмент'!F35))</f>
        <v>0</v>
      </c>
      <c r="L795" s="320">
        <f>N(L794)+(N(I795)&gt;0)</f>
        <v>0</v>
      </c>
    </row>
    <row r="796">
      <c r="A796" s="321" t="inlineStr">
        <is>
          <t xml:space="preserve">Тонировочный инструмент</t>
        </is>
      </c>
      <c r="B796" s="314" t="str">
        <f>'Тонировочный инструмент'!A36&amp;""</f>
        <v>GT 087GR</v>
      </c>
      <c r="C796" s="315" t="str">
        <f>'Тонировочный инструмент'!B36&amp;""</f>
        <v>Серая выгонка</v>
      </c>
      <c r="D796" s="316" t="str">
        <f>IF('Тонировочный инструмент'!G36="+","есть",IF('Тонировочный инструмент'!G36="-","нет",""))</f>
        <v>есть</v>
      </c>
      <c r="E796" s="317"/>
      <c r="F796" s="318">
        <f>IF(N('Тонировочный инструмент'!F36)&lt;=0,"по запросу",CHOOSE($K$4,IF(N('Тонировочный инструмент'!D36)&gt;0,N('Тонировочный инструмент'!D36),N('Тонировочный инструмент'!F36)),IF(N('Тонировочный инструмент'!E36)&gt;0,N('Тонировочный инструмент'!E36),N('Тонировочный инструмент'!F36)),N('Тонировочный инструмент'!F36)))</f>
        <v>398.9</v>
      </c>
      <c r="G796" s="319" t="str">
        <f>IF(I796&lt;=0,"",IF(ISNUMBER(F796),I796*F796,"по запросу"))</f>
        <v/>
      </c>
      <c r="H796" s="320">
        <f>N('Тонировочный инструмент'!H36)</f>
        <v>0</v>
      </c>
      <c r="I796" s="320">
        <f>IF(N(E796)&gt;0,N(E796),H796)</f>
        <v>0</v>
      </c>
      <c r="J796" s="320">
        <f>I796*IF(N('Тонировочный инструмент'!D36)&gt;0,N('Тонировочный инструмент'!D36),N('Тонировочный инструмент'!F36))</f>
        <v>0</v>
      </c>
      <c r="K796" s="320">
        <f>I796*IF(N('Тонировочный инструмент'!E36)&gt;0,N('Тонировочный инструмент'!E36),N('Тонировочный инструмент'!F36))</f>
        <v>0</v>
      </c>
      <c r="L796" s="320">
        <f>N(L795)+(N(I796)&gt;0)</f>
        <v>0</v>
      </c>
    </row>
    <row r="797">
      <c r="A797" s="321" t="inlineStr">
        <is>
          <t xml:space="preserve">Тонировочный инструмент</t>
        </is>
      </c>
      <c r="B797" s="314" t="str">
        <f>'Тонировочный инструмент'!A37&amp;""</f>
        <v>GT 088</v>
      </c>
      <c r="C797" s="315" t="str">
        <f>'Тонировочный инструмент'!B37&amp;""</f>
        <v>Желтая выгонка Bondo</v>
      </c>
      <c r="D797" s="316" t="str">
        <f>IF('Тонировочный инструмент'!G37="+","есть",IF('Тонировочный инструмент'!G37="-","нет",""))</f>
        <v>нет</v>
      </c>
      <c r="E797" s="317"/>
      <c r="F797" s="318" t="str">
        <f>IF(N('Тонировочный инструмент'!F37)&lt;=0,"по запросу",CHOOSE($K$4,IF(N('Тонировочный инструмент'!D37)&gt;0,N('Тонировочный инструмент'!D37),N('Тонировочный инструмент'!F37)),IF(N('Тонировочный инструмент'!E37)&gt;0,N('Тонировочный инструмент'!E37),N('Тонировочный инструмент'!F37)),N('Тонировочный инструмент'!F37)))</f>
        <v>по запросу</v>
      </c>
      <c r="G797" s="319" t="str">
        <f>IF(I797&lt;=0,"",IF(ISNUMBER(F797),I797*F797,"по запросу"))</f>
        <v/>
      </c>
      <c r="H797" s="320">
        <f>N('Тонировочный инструмент'!H37)</f>
        <v>0</v>
      </c>
      <c r="I797" s="320">
        <f>IF(N(E797)&gt;0,N(E797),H797)</f>
        <v>0</v>
      </c>
      <c r="J797" s="320">
        <f>I797*IF(N('Тонировочный инструмент'!D37)&gt;0,N('Тонировочный инструмент'!D37),N('Тонировочный инструмент'!F37))</f>
        <v>0</v>
      </c>
      <c r="K797" s="320">
        <f>I797*IF(N('Тонировочный инструмент'!E37)&gt;0,N('Тонировочный инструмент'!E37),N('Тонировочный инструмент'!F37))</f>
        <v>0</v>
      </c>
      <c r="L797" s="320">
        <f>N(L796)+(N(I797)&gt;0)</f>
        <v>0</v>
      </c>
    </row>
    <row r="798">
      <c r="A798" s="321" t="inlineStr">
        <is>
          <t xml:space="preserve">Тонировочный инструмент</t>
        </is>
      </c>
      <c r="B798" s="314" t="str">
        <f>'Тонировочный инструмент'!A38&amp;""</f>
        <v>GT 091</v>
      </c>
      <c r="C798" s="315" t="str">
        <f>'Тонировочный инструмент'!B38&amp;""</f>
        <v>Сламмер для сгона воды на заднем стекле в труднодоступных местах</v>
      </c>
      <c r="D798" s="316" t="str">
        <f>IF('Тонировочный инструмент'!G38="+","есть",IF('Тонировочный инструмент'!G38="-","нет",""))</f>
        <v>есть</v>
      </c>
      <c r="E798" s="317"/>
      <c r="F798" s="318">
        <f>IF(N('Тонировочный инструмент'!F38)&lt;=0,"по запросу",CHOOSE($K$4,IF(N('Тонировочный инструмент'!D38)&gt;0,N('Тонировочный инструмент'!D38),N('Тонировочный инструмент'!F38)),IF(N('Тонировочный инструмент'!E38)&gt;0,N('Тонировочный инструмент'!E38),N('Тонировочный инструмент'!F38)),N('Тонировочный инструмент'!F38)))</f>
        <v>1428.2</v>
      </c>
      <c r="G798" s="319" t="str">
        <f>IF(I798&lt;=0,"",IF(ISNUMBER(F798),I798*F798,"по запросу"))</f>
        <v/>
      </c>
      <c r="H798" s="320">
        <f>N('Тонировочный инструмент'!H38)</f>
        <v>0</v>
      </c>
      <c r="I798" s="320">
        <f>IF(N(E798)&gt;0,N(E798),H798)</f>
        <v>0</v>
      </c>
      <c r="J798" s="320">
        <f>I798*IF(N('Тонировочный инструмент'!D38)&gt;0,N('Тонировочный инструмент'!D38),N('Тонировочный инструмент'!F38))</f>
        <v>0</v>
      </c>
      <c r="K798" s="320">
        <f>I798*IF(N('Тонировочный инструмент'!E38)&gt;0,N('Тонировочный инструмент'!E38),N('Тонировочный инструмент'!F38))</f>
        <v>0</v>
      </c>
      <c r="L798" s="320">
        <f>N(L797)+(N(I798)&gt;0)</f>
        <v>0</v>
      </c>
    </row>
    <row r="799">
      <c r="A799" s="321" t="inlineStr">
        <is>
          <t xml:space="preserve">Тонировочный инструмент</t>
        </is>
      </c>
      <c r="B799" s="314" t="str">
        <f>'Тонировочный инструмент'!A39&amp;""</f>
        <v>GT 113 Yellow</v>
      </c>
      <c r="C799" s="315" t="str">
        <f>'Тонировочный инструмент'!B39&amp;""</f>
        <v>Выгонка Diamond Tip желтая</v>
      </c>
      <c r="D799" s="316" t="str">
        <f>IF('Тонировочный инструмент'!G39="+","есть",IF('Тонировочный инструмент'!G39="-","нет",""))</f>
        <v>есть</v>
      </c>
      <c r="E799" s="317"/>
      <c r="F799" s="318">
        <f>IF(N('Тонировочный инструмент'!F39)&lt;=0,"по запросу",CHOOSE($K$4,IF(N('Тонировочный инструмент'!D39)&gt;0,N('Тонировочный инструмент'!D39),N('Тонировочный инструмент'!F39)),IF(N('Тонировочный инструмент'!E39)&gt;0,N('Тонировочный инструмент'!E39),N('Тонировочный инструмент'!F39)),N('Тонировочный инструмент'!F39)))</f>
        <v>631.9</v>
      </c>
      <c r="G799" s="319" t="str">
        <f>IF(I799&lt;=0,"",IF(ISNUMBER(F799),I799*F799,"по запросу"))</f>
        <v/>
      </c>
      <c r="H799" s="320">
        <f>N('Тонировочный инструмент'!H39)</f>
        <v>0</v>
      </c>
      <c r="I799" s="320">
        <f>IF(N(E799)&gt;0,N(E799),H799)</f>
        <v>0</v>
      </c>
      <c r="J799" s="320">
        <f>I799*IF(N('Тонировочный инструмент'!D39)&gt;0,N('Тонировочный инструмент'!D39),N('Тонировочный инструмент'!F39))</f>
        <v>0</v>
      </c>
      <c r="K799" s="320">
        <f>I799*IF(N('Тонировочный инструмент'!E39)&gt;0,N('Тонировочный инструмент'!E39),N('Тонировочный инструмент'!F39))</f>
        <v>0</v>
      </c>
      <c r="L799" s="320">
        <f>N(L798)+(N(I799)&gt;0)</f>
        <v>0</v>
      </c>
    </row>
    <row r="800">
      <c r="A800" s="321" t="inlineStr">
        <is>
          <t xml:space="preserve">Тонировочный инструмент</t>
        </is>
      </c>
      <c r="B800" s="314" t="str">
        <f>'Тонировочный инструмент'!A40&amp;""</f>
        <v>GT 117</v>
      </c>
      <c r="C800" s="315" t="str">
        <f>'Тонировочный инструмент'!B40&amp;""</f>
        <v>Выгонка синяя "Blue Max" для сгона и выжимки воды на любых стеклах, 13см</v>
      </c>
      <c r="D800" s="316" t="str">
        <f>IF('Тонировочный инструмент'!G40="+","есть",IF('Тонировочный инструмент'!G40="-","нет",""))</f>
        <v>есть</v>
      </c>
      <c r="E800" s="317"/>
      <c r="F800" s="318">
        <f>IF(N('Тонировочный инструмент'!F40)&lt;=0,"по запросу",CHOOSE($K$4,IF(N('Тонировочный инструмент'!D40)&gt;0,N('Тонировочный инструмент'!D40),N('Тонировочный инструмент'!F40)),IF(N('Тонировочный инструмент'!E40)&gt;0,N('Тонировочный инструмент'!E40),N('Тонировочный инструмент'!F40)),N('Тонировочный инструмент'!F40)))</f>
        <v>1858.1</v>
      </c>
      <c r="G800" s="319" t="str">
        <f>IF(I800&lt;=0,"",IF(ISNUMBER(F800),I800*F800,"по запросу"))</f>
        <v/>
      </c>
      <c r="H800" s="320">
        <f>N('Тонировочный инструмент'!H40)</f>
        <v>0</v>
      </c>
      <c r="I800" s="320">
        <f>IF(N(E800)&gt;0,N(E800),H800)</f>
        <v>0</v>
      </c>
      <c r="J800" s="320">
        <f>I800*IF(N('Тонировочный инструмент'!D40)&gt;0,N('Тонировочный инструмент'!D40),N('Тонировочный инструмент'!F40))</f>
        <v>0</v>
      </c>
      <c r="K800" s="320">
        <f>I800*IF(N('Тонировочный инструмент'!E40)&gt;0,N('Тонировочный инструмент'!E40),N('Тонировочный инструмент'!F40))</f>
        <v>0</v>
      </c>
      <c r="L800" s="320">
        <f>N(L799)+(N(I800)&gt;0)</f>
        <v>0</v>
      </c>
    </row>
    <row r="801">
      <c r="A801" s="321" t="inlineStr">
        <is>
          <t xml:space="preserve">Тонировочный инструмент</t>
        </is>
      </c>
      <c r="B801" s="314" t="str">
        <f>'Тонировочный инструмент'!A41&amp;""</f>
        <v>GT 117A</v>
      </c>
      <c r="C801" s="315" t="str">
        <f>'Тонировочный инструмент'!B41&amp;""</f>
        <v>Выгонка синяя "Blue Max"угловая для сгона и выжимки воды на любых стеклах, 13см</v>
      </c>
      <c r="D801" s="316" t="str">
        <f>IF('Тонировочный инструмент'!G41="+","есть",IF('Тонировочный инструмент'!G41="-","нет",""))</f>
        <v>нет</v>
      </c>
      <c r="E801" s="317"/>
      <c r="F801" s="318" t="str">
        <f>IF(N('Тонировочный инструмент'!F41)&lt;=0,"по запросу",CHOOSE($K$4,IF(N('Тонировочный инструмент'!D41)&gt;0,N('Тонировочный инструмент'!D41),N('Тонировочный инструмент'!F41)),IF(N('Тонировочный инструмент'!E41)&gt;0,N('Тонировочный инструмент'!E41),N('Тонировочный инструмент'!F41)),N('Тонировочный инструмент'!F41)))</f>
        <v>по запросу</v>
      </c>
      <c r="G801" s="319" t="str">
        <f>IF(I801&lt;=0,"",IF(ISNUMBER(F801),I801*F801,"по запросу"))</f>
        <v/>
      </c>
      <c r="H801" s="320">
        <f>N('Тонировочный инструмент'!H41)</f>
        <v>0</v>
      </c>
      <c r="I801" s="320">
        <f>IF(N(E801)&gt;0,N(E801),H801)</f>
        <v>0</v>
      </c>
      <c r="J801" s="320">
        <f>I801*IF(N('Тонировочный инструмент'!D41)&gt;0,N('Тонировочный инструмент'!D41),N('Тонировочный инструмент'!F41))</f>
        <v>0</v>
      </c>
      <c r="K801" s="320">
        <f>I801*IF(N('Тонировочный инструмент'!E41)&gt;0,N('Тонировочный инструмент'!E41),N('Тонировочный инструмент'!F41))</f>
        <v>0</v>
      </c>
      <c r="L801" s="320">
        <f>N(L800)+(N(I801)&gt;0)</f>
        <v>0</v>
      </c>
    </row>
    <row r="802">
      <c r="A802" s="321" t="inlineStr">
        <is>
          <t xml:space="preserve">Тонировочный инструмент</t>
        </is>
      </c>
      <c r="B802" s="314" t="str">
        <f>'Тонировочный инструмент'!A42&amp;""</f>
        <v>GT 119</v>
      </c>
      <c r="C802" s="315" t="str">
        <f>'Тонировочный инструмент'!B42&amp;""</f>
        <v>Угловая резиновая выгонка, черная, 10см</v>
      </c>
      <c r="D802" s="316" t="str">
        <f>IF('Тонировочный инструмент'!G42="+","есть",IF('Тонировочный инструмент'!G42="-","нет",""))</f>
        <v>есть</v>
      </c>
      <c r="E802" s="317"/>
      <c r="F802" s="318">
        <f>IF(N('Тонировочный инструмент'!F42)&lt;=0,"по запросу",CHOOSE($K$4,IF(N('Тонировочный инструмент'!D42)&gt;0,N('Тонировочный инструмент'!D42),N('Тонировочный инструмент'!F42)),IF(N('Тонировочный инструмент'!E42)&gt;0,N('Тонировочный инструмент'!E42),N('Тонировочный инструмент'!F42)),N('Тонировочный инструмент'!F42)))</f>
        <v>981.2</v>
      </c>
      <c r="G802" s="319" t="str">
        <f>IF(I802&lt;=0,"",IF(ISNUMBER(F802),I802*F802,"по запросу"))</f>
        <v/>
      </c>
      <c r="H802" s="320">
        <f>N('Тонировочный инструмент'!H42)</f>
        <v>0</v>
      </c>
      <c r="I802" s="320">
        <f>IF(N(E802)&gt;0,N(E802),H802)</f>
        <v>0</v>
      </c>
      <c r="J802" s="320">
        <f>I802*IF(N('Тонировочный инструмент'!D42)&gt;0,N('Тонировочный инструмент'!D42),N('Тонировочный инструмент'!F42))</f>
        <v>0</v>
      </c>
      <c r="K802" s="320">
        <f>I802*IF(N('Тонировочный инструмент'!E42)&gt;0,N('Тонировочный инструмент'!E42),N('Тонировочный инструмент'!F42))</f>
        <v>0</v>
      </c>
      <c r="L802" s="320">
        <f>N(L801)+(N(I802)&gt;0)</f>
        <v>0</v>
      </c>
    </row>
    <row r="803">
      <c r="A803" s="321" t="inlineStr">
        <is>
          <t xml:space="preserve">Тонировочный инструмент</t>
        </is>
      </c>
      <c r="B803" s="314" t="str">
        <f>'Тонировочный инструмент'!A43&amp;""</f>
        <v>GT 147</v>
      </c>
      <c r="C803" s="315" t="str">
        <f>'Тонировочный инструмент'!B43&amp;""</f>
        <v>Желтая полиуретановая выгонка Turbo для мойки стекол, 50см</v>
      </c>
      <c r="D803" s="316" t="str">
        <f>IF('Тонировочный инструмент'!G43="+","есть",IF('Тонировочный инструмент'!G43="-","нет",""))</f>
        <v>есть</v>
      </c>
      <c r="E803" s="317"/>
      <c r="F803" s="318">
        <f>IF(N('Тонировочный инструмент'!F43)&lt;=0,"по запросу",CHOOSE($K$4,IF(N('Тонировочный инструмент'!D43)&gt;0,N('Тонировочный инструмент'!D43),N('Тонировочный инструмент'!F43)),IF(N('Тонировочный инструмент'!E43)&gt;0,N('Тонировочный инструмент'!E43),N('Тонировочный инструмент'!F43)),N('Тонировочный инструмент'!F43)))</f>
        <v>3128.2</v>
      </c>
      <c r="G803" s="319" t="str">
        <f>IF(I803&lt;=0,"",IF(ISNUMBER(F803),I803*F803,"по запросу"))</f>
        <v/>
      </c>
      <c r="H803" s="320">
        <f>N('Тонировочный инструмент'!H43)</f>
        <v>0</v>
      </c>
      <c r="I803" s="320">
        <f>IF(N(E803)&gt;0,N(E803),H803)</f>
        <v>0</v>
      </c>
      <c r="J803" s="320">
        <f>I803*IF(N('Тонировочный инструмент'!D43)&gt;0,N('Тонировочный инструмент'!D43),N('Тонировочный инструмент'!F43))</f>
        <v>0</v>
      </c>
      <c r="K803" s="320">
        <f>I803*IF(N('Тонировочный инструмент'!E43)&gt;0,N('Тонировочный инструмент'!E43),N('Тонировочный инструмент'!F43))</f>
        <v>0</v>
      </c>
      <c r="L803" s="320">
        <f>N(L802)+(N(I803)&gt;0)</f>
        <v>0</v>
      </c>
    </row>
    <row r="804">
      <c r="A804" s="321" t="inlineStr">
        <is>
          <t xml:space="preserve">Тонировочный инструмент</t>
        </is>
      </c>
      <c r="B804" s="314" t="str">
        <f>'Тонировочный инструмент'!A44&amp;""</f>
        <v>GT 148</v>
      </c>
      <c r="C804" s="315" t="str">
        <f>'Тонировочный инструмент'!B44&amp;""</f>
        <v>Белая выгонка с резиновой вставкой, 15см</v>
      </c>
      <c r="D804" s="316" t="str">
        <f>IF('Тонировочный инструмент'!G44="+","есть",IF('Тонировочный инструмент'!G44="-","нет",""))</f>
        <v>есть</v>
      </c>
      <c r="E804" s="317"/>
      <c r="F804" s="318">
        <f>IF(N('Тонировочный инструмент'!F44)&lt;=0,"по запросу",CHOOSE($K$4,IF(N('Тонировочный инструмент'!D44)&gt;0,N('Тонировочный инструмент'!D44),N('Тонировочный инструмент'!F44)),IF(N('Тонировочный инструмент'!E44)&gt;0,N('Тонировочный инструмент'!E44),N('Тонировочный инструмент'!F44)),N('Тонировочный инструмент'!F44)))</f>
        <v>150</v>
      </c>
      <c r="G804" s="319" t="str">
        <f>IF(I804&lt;=0,"",IF(ISNUMBER(F804),I804*F804,"по запросу"))</f>
        <v/>
      </c>
      <c r="H804" s="320">
        <f>N('Тонировочный инструмент'!H44)</f>
        <v>0</v>
      </c>
      <c r="I804" s="320">
        <f>IF(N(E804)&gt;0,N(E804),H804)</f>
        <v>0</v>
      </c>
      <c r="J804" s="320">
        <f>I804*IF(N('Тонировочный инструмент'!D44)&gt;0,N('Тонировочный инструмент'!D44),N('Тонировочный инструмент'!F44))</f>
        <v>0</v>
      </c>
      <c r="K804" s="320">
        <f>I804*IF(N('Тонировочный инструмент'!E44)&gt;0,N('Тонировочный инструмент'!E44),N('Тонировочный инструмент'!F44))</f>
        <v>0</v>
      </c>
      <c r="L804" s="320">
        <f>N(L803)+(N(I804)&gt;0)</f>
        <v>0</v>
      </c>
    </row>
    <row r="805">
      <c r="A805" s="321" t="inlineStr">
        <is>
          <t xml:space="preserve">Тонировочный инструмент</t>
        </is>
      </c>
      <c r="B805" s="314" t="str">
        <f>'Тонировочный инструмент'!A45&amp;""</f>
        <v>GT 149</v>
      </c>
      <c r="C805" s="315" t="str">
        <f>'Тонировочный инструмент'!B45&amp;""</f>
        <v>Белая выгонка с резиновой вставкой, 30см</v>
      </c>
      <c r="D805" s="316" t="str">
        <f>IF('Тонировочный инструмент'!G45="+","есть",IF('Тонировочный инструмент'!G45="-","нет",""))</f>
        <v>есть</v>
      </c>
      <c r="E805" s="317"/>
      <c r="F805" s="318">
        <f>IF(N('Тонировочный инструмент'!F45)&lt;=0,"по запросу",CHOOSE($K$4,IF(N('Тонировочный инструмент'!D45)&gt;0,N('Тонировочный инструмент'!D45),N('Тонировочный инструмент'!F45)),IF(N('Тонировочный инструмент'!E45)&gt;0,N('Тонировочный инструмент'!E45),N('Тонировочный инструмент'!F45)),N('Тонировочный инструмент'!F45)))</f>
        <v>326.6</v>
      </c>
      <c r="G805" s="319" t="str">
        <f>IF(I805&lt;=0,"",IF(ISNUMBER(F805),I805*F805,"по запросу"))</f>
        <v/>
      </c>
      <c r="H805" s="320">
        <f>N('Тонировочный инструмент'!H45)</f>
        <v>0</v>
      </c>
      <c r="I805" s="320">
        <f>IF(N(E805)&gt;0,N(E805),H805)</f>
        <v>0</v>
      </c>
      <c r="J805" s="320">
        <f>I805*IF(N('Тонировочный инструмент'!D45)&gt;0,N('Тонировочный инструмент'!D45),N('Тонировочный инструмент'!F45))</f>
        <v>0</v>
      </c>
      <c r="K805" s="320">
        <f>I805*IF(N('Тонировочный инструмент'!E45)&gt;0,N('Тонировочный инструмент'!E45),N('Тонировочный инструмент'!F45))</f>
        <v>0</v>
      </c>
      <c r="L805" s="320">
        <f>N(L804)+(N(I805)&gt;0)</f>
        <v>0</v>
      </c>
    </row>
    <row r="806">
      <c r="A806" s="321" t="inlineStr">
        <is>
          <t xml:space="preserve">Тонировочный инструмент</t>
        </is>
      </c>
      <c r="B806" s="314" t="str">
        <f>'Тонировочный инструмент'!A46&amp;""</f>
        <v>GT 178</v>
      </c>
      <c r="C806" s="315" t="str">
        <f>'Тонировочный инструмент'!B46&amp;""</f>
        <v>Выгонка Reach с прорезиненными краями для работы с пленками в труднодоступных местах, 42 см</v>
      </c>
      <c r="D806" s="316" t="str">
        <f>IF('Тонировочный инструмент'!G46="+","есть",IF('Тонировочный инструмент'!G46="-","нет",""))</f>
        <v>есть</v>
      </c>
      <c r="E806" s="317"/>
      <c r="F806" s="318">
        <f>IF(N('Тонировочный инструмент'!F46)&lt;=0,"по запросу",CHOOSE($K$4,IF(N('Тонировочный инструмент'!D46)&gt;0,N('Тонировочный инструмент'!D46),N('Тонировочный инструмент'!F46)),IF(N('Тонировочный инструмент'!E46)&gt;0,N('Тонировочный инструмент'!E46),N('Тонировочный инструмент'!F46)),N('Тонировочный инструмент'!F46)))</f>
        <v>5424.5</v>
      </c>
      <c r="G806" s="319" t="str">
        <f>IF(I806&lt;=0,"",IF(ISNUMBER(F806),I806*F806,"по запросу"))</f>
        <v/>
      </c>
      <c r="H806" s="320">
        <f>N('Тонировочный инструмент'!H46)</f>
        <v>0</v>
      </c>
      <c r="I806" s="320">
        <f>IF(N(E806)&gt;0,N(E806),H806)</f>
        <v>0</v>
      </c>
      <c r="J806" s="320">
        <f>I806*IF(N('Тонировочный инструмент'!D46)&gt;0,N('Тонировочный инструмент'!D46),N('Тонировочный инструмент'!F46))</f>
        <v>0</v>
      </c>
      <c r="K806" s="320">
        <f>I806*IF(N('Тонировочный инструмент'!E46)&gt;0,N('Тонировочный инструмент'!E46),N('Тонировочный инструмент'!F46))</f>
        <v>0</v>
      </c>
      <c r="L806" s="320">
        <f>N(L805)+(N(I806)&gt;0)</f>
        <v>0</v>
      </c>
    </row>
    <row r="807">
      <c r="A807" s="321" t="inlineStr">
        <is>
          <t xml:space="preserve">Тонировочный инструмент</t>
        </is>
      </c>
      <c r="B807" s="314" t="str">
        <f>'Тонировочный инструмент'!A47&amp;""</f>
        <v>GT 200 Ultra Gold</v>
      </c>
      <c r="C807" s="315" t="str">
        <f>'Тонировочный инструмент'!B47&amp;""</f>
        <v>Треугольная золотая выгонка, EZ Reach ORIGINAL Gold</v>
      </c>
      <c r="D807" s="316" t="str">
        <f>IF('Тонировочный инструмент'!G47="+","есть",IF('Тонировочный инструмент'!G47="-","нет",""))</f>
        <v>есть</v>
      </c>
      <c r="E807" s="317"/>
      <c r="F807" s="318">
        <f>IF(N('Тонировочный инструмент'!F47)&lt;=0,"по запросу",CHOOSE($K$4,IF(N('Тонировочный инструмент'!D47)&gt;0,N('Тонировочный инструмент'!D47),N('Тонировочный инструмент'!F47)),IF(N('Тонировочный инструмент'!E47)&gt;0,N('Тонировочный инструмент'!E47),N('Тонировочный инструмент'!F47)),N('Тонировочный инструмент'!F47)))</f>
        <v>619.9</v>
      </c>
      <c r="G807" s="319" t="str">
        <f>IF(I807&lt;=0,"",IF(ISNUMBER(F807),I807*F807,"по запросу"))</f>
        <v/>
      </c>
      <c r="H807" s="320">
        <f>N('Тонировочный инструмент'!H47)</f>
        <v>0</v>
      </c>
      <c r="I807" s="320">
        <f>IF(N(E807)&gt;0,N(E807),H807)</f>
        <v>0</v>
      </c>
      <c r="J807" s="320">
        <f>I807*IF(N('Тонировочный инструмент'!D47)&gt;0,N('Тонировочный инструмент'!D47),N('Тонировочный инструмент'!F47))</f>
        <v>0</v>
      </c>
      <c r="K807" s="320">
        <f>I807*IF(N('Тонировочный инструмент'!E47)&gt;0,N('Тонировочный инструмент'!E47),N('Тонировочный инструмент'!F47))</f>
        <v>0</v>
      </c>
      <c r="L807" s="320">
        <f>N(L806)+(N(I807)&gt;0)</f>
        <v>0</v>
      </c>
    </row>
    <row r="808">
      <c r="A808" s="321" t="inlineStr">
        <is>
          <t xml:space="preserve">Тонировочный инструмент</t>
        </is>
      </c>
      <c r="B808" s="314" t="str">
        <f>'Тонировочный инструмент'!A48&amp;""</f>
        <v>GT 200PLT</v>
      </c>
      <c r="C808" s="315" t="str">
        <f>'Тонировочный инструмент'!B48&amp;""</f>
        <v>Треугольная платиновая выгонка, EZ Reach ORIGINAL Platinum</v>
      </c>
      <c r="D808" s="316" t="str">
        <f>IF('Тонировочный инструмент'!G48="+","есть",IF('Тонировочный инструмент'!G48="-","нет",""))</f>
        <v>есть</v>
      </c>
      <c r="E808" s="317"/>
      <c r="F808" s="318">
        <f>IF(N('Тонировочный инструмент'!F48)&lt;=0,"по запросу",CHOOSE($K$4,IF(N('Тонировочный инструмент'!D48)&gt;0,N('Тонировочный инструмент'!D48),N('Тонировочный инструмент'!F48)),IF(N('Тонировочный инструмент'!E48)&gt;0,N('Тонировочный инструмент'!E48),N('Тонировочный инструмент'!F48)),N('Тонировочный инструмент'!F48)))</f>
        <v>659</v>
      </c>
      <c r="G808" s="319" t="str">
        <f>IF(I808&lt;=0,"",IF(ISNUMBER(F808),I808*F808,"по запросу"))</f>
        <v/>
      </c>
      <c r="H808" s="320">
        <f>N('Тонировочный инструмент'!H48)</f>
        <v>0</v>
      </c>
      <c r="I808" s="320">
        <f>IF(N(E808)&gt;0,N(E808),H808)</f>
        <v>0</v>
      </c>
      <c r="J808" s="320">
        <f>I808*IF(N('Тонировочный инструмент'!D48)&gt;0,N('Тонировочный инструмент'!D48),N('Тонировочный инструмент'!F48))</f>
        <v>0</v>
      </c>
      <c r="K808" s="320">
        <f>I808*IF(N('Тонировочный инструмент'!E48)&gt;0,N('Тонировочный инструмент'!E48),N('Тонировочный инструмент'!F48))</f>
        <v>0</v>
      </c>
      <c r="L808" s="320">
        <f>N(L807)+(N(I808)&gt;0)</f>
        <v>0</v>
      </c>
    </row>
    <row r="809">
      <c r="A809" s="321" t="inlineStr">
        <is>
          <t xml:space="preserve">Тонировочный инструмент</t>
        </is>
      </c>
      <c r="B809" s="314" t="str">
        <f>'Тонировочный инструмент'!A49&amp;""</f>
        <v>GT 201Y contour </v>
      </c>
      <c r="C809" s="315" t="str">
        <f>'Тонировочный инструмент'!B49&amp;""</f>
        <v>Остроуг.выгонка для разглаж. пленки в труднодоступных местах, желтая</v>
      </c>
      <c r="D809" s="316" t="str">
        <f>IF('Тонировочный инструмент'!G49="+","есть",IF('Тонировочный инструмент'!G49="-","нет",""))</f>
        <v>есть</v>
      </c>
      <c r="E809" s="317"/>
      <c r="F809" s="318">
        <f>IF(N('Тонировочный инструмент'!F49)&lt;=0,"по запросу",CHOOSE($K$4,IF(N('Тонировочный инструмент'!D49)&gt;0,N('Тонировочный инструмент'!D49),N('Тонировочный инструмент'!F49)),IF(N('Тонировочный инструмент'!E49)&gt;0,N('Тонировочный инструмент'!E49),N('Тонировочный инструмент'!F49)),N('Тонировочный инструмент'!F49)))</f>
        <v>720.3</v>
      </c>
      <c r="G809" s="319" t="str">
        <f>IF(I809&lt;=0,"",IF(ISNUMBER(F809),I809*F809,"по запросу"))</f>
        <v/>
      </c>
      <c r="H809" s="320">
        <f>N('Тонировочный инструмент'!H49)</f>
        <v>0</v>
      </c>
      <c r="I809" s="320">
        <f>IF(N(E809)&gt;0,N(E809),H809)</f>
        <v>0</v>
      </c>
      <c r="J809" s="320">
        <f>I809*IF(N('Тонировочный инструмент'!D49)&gt;0,N('Тонировочный инструмент'!D49),N('Тонировочный инструмент'!F49))</f>
        <v>0</v>
      </c>
      <c r="K809" s="320">
        <f>I809*IF(N('Тонировочный инструмент'!E49)&gt;0,N('Тонировочный инструмент'!E49),N('Тонировочный инструмент'!F49))</f>
        <v>0</v>
      </c>
      <c r="L809" s="320">
        <f>N(L808)+(N(I809)&gt;0)</f>
        <v>0</v>
      </c>
    </row>
    <row r="810">
      <c r="A810" s="321" t="inlineStr">
        <is>
          <t xml:space="preserve">Тонировочный инструмент</t>
        </is>
      </c>
      <c r="B810" s="314" t="str">
        <f>'Тонировочный инструмент'!A50&amp;""</f>
        <v>GT 202</v>
      </c>
      <c r="C810" s="315" t="str">
        <f>'Тонировочный инструмент'!B50&amp;""</f>
        <v>Остроуг.выгонка для разглаж. пленки в труднодоступных местах,черная</v>
      </c>
      <c r="D810" s="316" t="str">
        <f>IF('Тонировочный инструмент'!G50="+","есть",IF('Тонировочный инструмент'!G50="-","нет",""))</f>
        <v>есть</v>
      </c>
      <c r="E810" s="317"/>
      <c r="F810" s="318">
        <f>IF(N('Тонировочный инструмент'!F50)&lt;=0,"по запросу",CHOOSE($K$4,IF(N('Тонировочный инструмент'!D50)&gt;0,N('Тонировочный инструмент'!D50),N('Тонировочный инструмент'!F50)),IF(N('Тонировочный инструмент'!E50)&gt;0,N('Тонировочный инструмент'!E50),N('Тонировочный инструмент'!F50)),N('Тонировочный инструмент'!F50)))</f>
        <v>457.7</v>
      </c>
      <c r="G810" s="319" t="str">
        <f>IF(I810&lt;=0,"",IF(ISNUMBER(F810),I810*F810,"по запросу"))</f>
        <v/>
      </c>
      <c r="H810" s="320">
        <f>N('Тонировочный инструмент'!H50)</f>
        <v>0</v>
      </c>
      <c r="I810" s="320">
        <f>IF(N(E810)&gt;0,N(E810),H810)</f>
        <v>0</v>
      </c>
      <c r="J810" s="320">
        <f>I810*IF(N('Тонировочный инструмент'!D50)&gt;0,N('Тонировочный инструмент'!D50),N('Тонировочный инструмент'!F50))</f>
        <v>0</v>
      </c>
      <c r="K810" s="320">
        <f>I810*IF(N('Тонировочный инструмент'!E50)&gt;0,N('Тонировочный инструмент'!E50),N('Тонировочный инструмент'!F50))</f>
        <v>0</v>
      </c>
      <c r="L810" s="320">
        <f>N(L809)+(N(I810)&gt;0)</f>
        <v>0</v>
      </c>
    </row>
    <row r="811">
      <c r="A811" s="321" t="inlineStr">
        <is>
          <t xml:space="preserve">Тонировочный инструмент</t>
        </is>
      </c>
      <c r="B811" s="314" t="str">
        <f>'Тонировочный инструмент'!A51&amp;""</f>
        <v>GT 202B</v>
      </c>
      <c r="C811" s="315" t="str">
        <f>'Тонировочный инструмент'!B51&amp;""</f>
        <v>Остроуг.выгонка для разглаж. пленки в труднодоступных местах,черная  с синей вставкой</v>
      </c>
      <c r="D811" s="316" t="str">
        <f>IF('Тонировочный инструмент'!G51="+","есть",IF('Тонировочный инструмент'!G51="-","нет",""))</f>
        <v>нет</v>
      </c>
      <c r="E811" s="317"/>
      <c r="F811" s="318">
        <f>IF(N('Тонировочный инструмент'!F51)&lt;=0,"по запросу",CHOOSE($K$4,IF(N('Тонировочный инструмент'!D51)&gt;0,N('Тонировочный инструмент'!D51),N('Тонировочный инструмент'!F51)),IF(N('Тонировочный инструмент'!E51)&gt;0,N('Тонировочный инструмент'!E51),N('Тонировочный инструмент'!F51)),N('Тонировочный инструмент'!F51)))</f>
        <v>572.9</v>
      </c>
      <c r="G811" s="319" t="str">
        <f>IF(I811&lt;=0,"",IF(ISNUMBER(F811),I811*F811,"по запросу"))</f>
        <v/>
      </c>
      <c r="H811" s="320">
        <f>N('Тонировочный инструмент'!H51)</f>
        <v>0</v>
      </c>
      <c r="I811" s="320">
        <f>IF(N(E811)&gt;0,N(E811),H811)</f>
        <v>0</v>
      </c>
      <c r="J811" s="320">
        <f>I811*IF(N('Тонировочный инструмент'!D51)&gt;0,N('Тонировочный инструмент'!D51),N('Тонировочный инструмент'!F51))</f>
        <v>0</v>
      </c>
      <c r="K811" s="320">
        <f>I811*IF(N('Тонировочный инструмент'!E51)&gt;0,N('Тонировочный инструмент'!E51),N('Тонировочный инструмент'!F51))</f>
        <v>0</v>
      </c>
      <c r="L811" s="320">
        <f>N(L810)+(N(I811)&gt;0)</f>
        <v>0</v>
      </c>
    </row>
    <row r="812">
      <c r="A812" s="321" t="inlineStr">
        <is>
          <t xml:space="preserve">Тонировочный инструмент</t>
        </is>
      </c>
      <c r="B812" s="314" t="str">
        <f>'Тонировочный инструмент'!A52&amp;""</f>
        <v>GT 203</v>
      </c>
      <c r="C812" s="315" t="str">
        <f>'Тонировочный инструмент'!B52&amp;""</f>
        <v>Выгонка белая "Clear Max" для сгона и выжимки воды на любых стеклах, 13см</v>
      </c>
      <c r="D812" s="316" t="str">
        <f>IF('Тонировочный инструмент'!G52="+","есть",IF('Тонировочный инструмент'!G52="-","нет",""))</f>
        <v>есть</v>
      </c>
      <c r="E812" s="317"/>
      <c r="F812" s="318">
        <f>IF(N('Тонировочный инструмент'!F52)&lt;=0,"по запросу",CHOOSE($K$4,IF(N('Тонировочный инструмент'!D52)&gt;0,N('Тонировочный инструмент'!D52),N('Тонировочный инструмент'!F52)),IF(N('Тонировочный инструмент'!E52)&gt;0,N('Тонировочный инструмент'!E52),N('Тонировочный инструмент'!F52)),N('Тонировочный инструмент'!F52)))</f>
        <v>1447.1</v>
      </c>
      <c r="G812" s="319" t="str">
        <f>IF(I812&lt;=0,"",IF(ISNUMBER(F812),I812*F812,"по запросу"))</f>
        <v/>
      </c>
      <c r="H812" s="320">
        <f>N('Тонировочный инструмент'!H52)</f>
        <v>0</v>
      </c>
      <c r="I812" s="320">
        <f>IF(N(E812)&gt;0,N(E812),H812)</f>
        <v>0</v>
      </c>
      <c r="J812" s="320">
        <f>I812*IF(N('Тонировочный инструмент'!D52)&gt;0,N('Тонировочный инструмент'!D52),N('Тонировочный инструмент'!F52))</f>
        <v>0</v>
      </c>
      <c r="K812" s="320">
        <f>I812*IF(N('Тонировочный инструмент'!E52)&gt;0,N('Тонировочный инструмент'!E52),N('Тонировочный инструмент'!F52))</f>
        <v>0</v>
      </c>
      <c r="L812" s="320">
        <f>N(L811)+(N(I812)&gt;0)</f>
        <v>0</v>
      </c>
    </row>
    <row r="813">
      <c r="A813" s="321" t="inlineStr">
        <is>
          <t xml:space="preserve">Тонировочный инструмент</t>
        </is>
      </c>
      <c r="B813" s="314" t="str">
        <f>'Тонировочный инструмент'!A53&amp;""</f>
        <v>GT 205 white</v>
      </c>
      <c r="C813" s="315" t="str">
        <f>'Тонировочный инструмент'!B53&amp;""</f>
        <v>Выгонка Bulldozer для сгона воды в труднодоступных местах</v>
      </c>
      <c r="D813" s="316" t="str">
        <f>IF('Тонировочный инструмент'!G53="+","есть",IF('Тонировочный инструмент'!G53="-","нет",""))</f>
        <v>нет</v>
      </c>
      <c r="E813" s="317"/>
      <c r="F813" s="318" t="str">
        <f>IF(N('Тонировочный инструмент'!F53)&lt;=0,"по запросу",CHOOSE($K$4,IF(N('Тонировочный инструмент'!D53)&gt;0,N('Тонировочный инструмент'!D53),N('Тонировочный инструмент'!F53)),IF(N('Тонировочный инструмент'!E53)&gt;0,N('Тонировочный инструмент'!E53),N('Тонировочный инструмент'!F53)),N('Тонировочный инструмент'!F53)))</f>
        <v>по запросу</v>
      </c>
      <c r="G813" s="319" t="str">
        <f>IF(I813&lt;=0,"",IF(ISNUMBER(F813),I813*F813,"по запросу"))</f>
        <v/>
      </c>
      <c r="H813" s="320">
        <f>N('Тонировочный инструмент'!H53)</f>
        <v>0</v>
      </c>
      <c r="I813" s="320">
        <f>IF(N(E813)&gt;0,N(E813),H813)</f>
        <v>0</v>
      </c>
      <c r="J813" s="320">
        <f>I813*IF(N('Тонировочный инструмент'!D53)&gt;0,N('Тонировочный инструмент'!D53),N('Тонировочный инструмент'!F53))</f>
        <v>0</v>
      </c>
      <c r="K813" s="320">
        <f>I813*IF(N('Тонировочный инструмент'!E53)&gt;0,N('Тонировочный инструмент'!E53),N('Тонировочный инструмент'!F53))</f>
        <v>0</v>
      </c>
      <c r="L813" s="320">
        <f>N(L812)+(N(I813)&gt;0)</f>
        <v>0</v>
      </c>
    </row>
    <row r="814">
      <c r="A814" s="321" t="inlineStr">
        <is>
          <t xml:space="preserve">Тонировочный инструмент</t>
        </is>
      </c>
      <c r="B814" s="314" t="str">
        <f>'Тонировочный инструмент'!A54&amp;""</f>
        <v>GT 207</v>
      </c>
      <c r="C814" s="315" t="str">
        <f>'Тонировочный инструмент'!B54&amp;""</f>
        <v>Выгонка Swiper</v>
      </c>
      <c r="D814" s="316" t="str">
        <f>IF('Тонировочный инструмент'!G54="+","есть",IF('Тонировочный инструмент'!G54="-","нет",""))</f>
        <v>есть</v>
      </c>
      <c r="E814" s="317"/>
      <c r="F814" s="318">
        <f>IF(N('Тонировочный инструмент'!F54)&lt;=0,"по запросу",CHOOSE($K$4,IF(N('Тонировочный инструмент'!D54)&gt;0,N('Тонировочный инструмент'!D54),N('Тонировочный инструмент'!F54)),IF(N('Тонировочный инструмент'!E54)&gt;0,N('Тонировочный инструмент'!E54),N('Тонировочный инструмент'!F54)),N('Тонировочный инструмент'!F54)))</f>
        <v>2072.2</v>
      </c>
      <c r="G814" s="319" t="str">
        <f>IF(I814&lt;=0,"",IF(ISNUMBER(F814),I814*F814,"по запросу"))</f>
        <v/>
      </c>
      <c r="H814" s="320">
        <f>N('Тонировочный инструмент'!H54)</f>
        <v>0</v>
      </c>
      <c r="I814" s="320">
        <f>IF(N(E814)&gt;0,N(E814),H814)</f>
        <v>0</v>
      </c>
      <c r="J814" s="320">
        <f>I814*IF(N('Тонировочный инструмент'!D54)&gt;0,N('Тонировочный инструмент'!D54),N('Тонировочный инструмент'!F54))</f>
        <v>0</v>
      </c>
      <c r="K814" s="320">
        <f>I814*IF(N('Тонировочный инструмент'!E54)&gt;0,N('Тонировочный инструмент'!E54),N('Тонировочный инструмент'!F54))</f>
        <v>0</v>
      </c>
      <c r="L814" s="320">
        <f>N(L813)+(N(I814)&gt;0)</f>
        <v>0</v>
      </c>
    </row>
    <row r="815">
      <c r="A815" s="321" t="inlineStr">
        <is>
          <t xml:space="preserve">Тонировочный инструмент</t>
        </is>
      </c>
      <c r="B815" s="314" t="str">
        <f>'Тонировочный инструмент'!A55&amp;""</f>
        <v>GT 235</v>
      </c>
      <c r="C815" s="315" t="str">
        <f>'Тонировочный инструмент'!B55&amp;""</f>
        <v>Желтая полиуретановая выгонка Turbo для мойки стекол , 15см</v>
      </c>
      <c r="D815" s="316" t="str">
        <f>IF('Тонировочный инструмент'!G55="+","есть",IF('Тонировочный инструмент'!G55="-","нет",""))</f>
        <v>есть</v>
      </c>
      <c r="E815" s="317"/>
      <c r="F815" s="318">
        <f>IF(N('Тонировочный инструмент'!F55)&lt;=0,"по запросу",CHOOSE($K$4,IF(N('Тонировочный инструмент'!D55)&gt;0,N('Тонировочный инструмент'!D55),N('Тонировочный инструмент'!F55)),IF(N('Тонировочный инструмент'!E55)&gt;0,N('Тонировочный инструмент'!E55),N('Тонировочный инструмент'!F55)),N('Тонировочный инструмент'!F55)))</f>
        <v>1488.7</v>
      </c>
      <c r="G815" s="319" t="str">
        <f>IF(I815&lt;=0,"",IF(ISNUMBER(F815),I815*F815,"по запросу"))</f>
        <v/>
      </c>
      <c r="H815" s="320">
        <f>N('Тонировочный инструмент'!H55)</f>
        <v>0</v>
      </c>
      <c r="I815" s="320">
        <f>IF(N(E815)&gt;0,N(E815),H815)</f>
        <v>0</v>
      </c>
      <c r="J815" s="320">
        <f>I815*IF(N('Тонировочный инструмент'!D55)&gt;0,N('Тонировочный инструмент'!D55),N('Тонировочный инструмент'!F55))</f>
        <v>0</v>
      </c>
      <c r="K815" s="320">
        <f>I815*IF(N('Тонировочный инструмент'!E55)&gt;0,N('Тонировочный инструмент'!E55),N('Тонировочный инструмент'!F55))</f>
        <v>0</v>
      </c>
      <c r="L815" s="320">
        <f>N(L814)+(N(I815)&gt;0)</f>
        <v>0</v>
      </c>
    </row>
    <row r="816">
      <c r="A816" s="321" t="inlineStr">
        <is>
          <t xml:space="preserve">Тонировочный инструмент</t>
        </is>
      </c>
      <c r="B816" s="314" t="str">
        <f>'Тонировочный инструмент'!A56&amp;""</f>
        <v>GT 257</v>
      </c>
      <c r="C816" s="315" t="str">
        <f>'Тонировочный инструмент'!B56&amp;""</f>
        <v>Выгонка оранжевая "Orange Crush", 13см</v>
      </c>
      <c r="D816" s="316" t="str">
        <f>IF('Тонировочный инструмент'!G56="+","есть",IF('Тонировочный инструмент'!G56="-","нет",""))</f>
        <v>есть</v>
      </c>
      <c r="E816" s="317"/>
      <c r="F816" s="318">
        <f>IF(N('Тонировочный инструмент'!F56)&lt;=0,"по запросу",CHOOSE($K$4,IF(N('Тонировочный инструмент'!D56)&gt;0,N('Тонировочный инструмент'!D56),N('Тонировочный инструмент'!F56)),IF(N('Тонировочный инструмент'!E56)&gt;0,N('Тонировочный инструмент'!E56),N('Тонировочный инструмент'!F56)),N('Тонировочный инструмент'!F56)))</f>
        <v>2036.2</v>
      </c>
      <c r="G816" s="319" t="str">
        <f>IF(I816&lt;=0,"",IF(ISNUMBER(F816),I816*F816,"по запросу"))</f>
        <v/>
      </c>
      <c r="H816" s="320">
        <f>N('Тонировочный инструмент'!H56)</f>
        <v>0</v>
      </c>
      <c r="I816" s="320">
        <f>IF(N(E816)&gt;0,N(E816),H816)</f>
        <v>0</v>
      </c>
      <c r="J816" s="320">
        <f>I816*IF(N('Тонировочный инструмент'!D56)&gt;0,N('Тонировочный инструмент'!D56),N('Тонировочный инструмент'!F56))</f>
        <v>0</v>
      </c>
      <c r="K816" s="320">
        <f>I816*IF(N('Тонировочный инструмент'!E56)&gt;0,N('Тонировочный инструмент'!E56),N('Тонировочный инструмент'!F56))</f>
        <v>0</v>
      </c>
      <c r="L816" s="320">
        <f>N(L815)+(N(I816)&gt;0)</f>
        <v>0</v>
      </c>
    </row>
    <row r="817">
      <c r="A817" s="321" t="inlineStr">
        <is>
          <t xml:space="preserve">Тонировочный инструмент</t>
        </is>
      </c>
      <c r="B817" s="314" t="str">
        <f>'Тонировочный инструмент'!A57&amp;""</f>
        <v>GT 258</v>
      </c>
      <c r="C817" s="315" t="str">
        <f>'Тонировочный инструмент'!B57&amp;""</f>
        <v>Выгонка оранжевая угловая"Orange Crush", 13см</v>
      </c>
      <c r="D817" s="316" t="str">
        <f>IF('Тонировочный инструмент'!G57="+","есть",IF('Тонировочный инструмент'!G57="-","нет",""))</f>
        <v>нет</v>
      </c>
      <c r="E817" s="317"/>
      <c r="F817" s="318" t="str">
        <f>IF(N('Тонировочный инструмент'!F57)&lt;=0,"по запросу",CHOOSE($K$4,IF(N('Тонировочный инструмент'!D57)&gt;0,N('Тонировочный инструмент'!D57),N('Тонировочный инструмент'!F57)),IF(N('Тонировочный инструмент'!E57)&gt;0,N('Тонировочный инструмент'!E57),N('Тонировочный инструмент'!F57)),N('Тонировочный инструмент'!F57)))</f>
        <v>по запросу</v>
      </c>
      <c r="G817" s="319" t="str">
        <f>IF(I817&lt;=0,"",IF(ISNUMBER(F817),I817*F817,"по запросу"))</f>
        <v/>
      </c>
      <c r="H817" s="320">
        <f>N('Тонировочный инструмент'!H57)</f>
        <v>0</v>
      </c>
      <c r="I817" s="320">
        <f>IF(N(E817)&gt;0,N(E817),H817)</f>
        <v>0</v>
      </c>
      <c r="J817" s="320">
        <f>I817*IF(N('Тонировочный инструмент'!D57)&gt;0,N('Тонировочный инструмент'!D57),N('Тонировочный инструмент'!F57))</f>
        <v>0</v>
      </c>
      <c r="K817" s="320">
        <f>I817*IF(N('Тонировочный инструмент'!E57)&gt;0,N('Тонировочный инструмент'!E57),N('Тонировочный инструмент'!F57))</f>
        <v>0</v>
      </c>
      <c r="L817" s="320">
        <f>N(L816)+(N(I817)&gt;0)</f>
        <v>0</v>
      </c>
    </row>
    <row r="818">
      <c r="A818" s="321" t="inlineStr">
        <is>
          <t xml:space="preserve">Тонировочный инструмент</t>
        </is>
      </c>
      <c r="B818" s="314" t="str">
        <f>'Тонировочный инструмент'!A58&amp;""</f>
        <v>GT 939</v>
      </c>
      <c r="C818" s="315" t="str">
        <f>'Тонировочный инструмент'!B58&amp;""</f>
        <v>Выгонка розовая трапеция "Pink Clean", 13см</v>
      </c>
      <c r="D818" s="316" t="str">
        <f>IF('Тонировочный инструмент'!G58="+","есть",IF('Тонировочный инструмент'!G58="-","нет",""))</f>
        <v>есть</v>
      </c>
      <c r="E818" s="317"/>
      <c r="F818" s="318">
        <f>IF(N('Тонировочный инструмент'!F58)&lt;=0,"по запросу",CHOOSE($K$4,IF(N('Тонировочный инструмент'!D58)&gt;0,N('Тонировочный инструмент'!D58),N('Тонировочный инструмент'!F58)),IF(N('Тонировочный инструмент'!E58)&gt;0,N('Тонировочный инструмент'!E58),N('Тонировочный инструмент'!F58)),N('Тонировочный инструмент'!F58)))</f>
        <v>2016</v>
      </c>
      <c r="G818" s="319" t="str">
        <f>IF(I818&lt;=0,"",IF(ISNUMBER(F818),I818*F818,"по запросу"))</f>
        <v/>
      </c>
      <c r="H818" s="320">
        <f>N('Тонировочный инструмент'!H58)</f>
        <v>0</v>
      </c>
      <c r="I818" s="320">
        <f>IF(N(E818)&gt;0,N(E818),H818)</f>
        <v>0</v>
      </c>
      <c r="J818" s="320">
        <f>I818*IF(N('Тонировочный инструмент'!D58)&gt;0,N('Тонировочный инструмент'!D58),N('Тонировочный инструмент'!F58))</f>
        <v>0</v>
      </c>
      <c r="K818" s="320">
        <f>I818*IF(N('Тонировочный инструмент'!E58)&gt;0,N('Тонировочный инструмент'!E58),N('Тонировочный инструмент'!F58))</f>
        <v>0</v>
      </c>
      <c r="L818" s="320">
        <f>N(L817)+(N(I818)&gt;0)</f>
        <v>0</v>
      </c>
    </row>
    <row r="819">
      <c r="A819" s="321" t="inlineStr">
        <is>
          <t xml:space="preserve">Тонировочный инструмент</t>
        </is>
      </c>
      <c r="B819" s="314" t="str">
        <f>'Тонировочный инструмент'!A59&amp;""</f>
        <v>GT 1070</v>
      </c>
      <c r="C819" s="315" t="str">
        <f>'Тонировочный инструмент'!B59&amp;""</f>
        <v>Выгонка Smart Cardz - PLATINUM</v>
      </c>
      <c r="D819" s="316" t="str">
        <f>IF('Тонировочный инструмент'!G59="+","есть",IF('Тонировочный инструмент'!G59="-","нет",""))</f>
        <v>есть</v>
      </c>
      <c r="E819" s="317"/>
      <c r="F819" s="318">
        <f>IF(N('Тонировочный инструмент'!F59)&lt;=0,"по запросу",CHOOSE($K$4,IF(N('Тонировочный инструмент'!D59)&gt;0,N('Тонировочный инструмент'!D59),N('Тонировочный инструмент'!F59)),IF(N('Тонировочный инструмент'!E59)&gt;0,N('Тонировочный инструмент'!E59),N('Тонировочный инструмент'!F59)),N('Тонировочный инструмент'!F59)))</f>
        <v>569.9</v>
      </c>
      <c r="G819" s="319" t="str">
        <f>IF(I819&lt;=0,"",IF(ISNUMBER(F819),I819*F819,"по запросу"))</f>
        <v/>
      </c>
      <c r="H819" s="320">
        <f>N('Тонировочный инструмент'!H59)</f>
        <v>0</v>
      </c>
      <c r="I819" s="320">
        <f>IF(N(E819)&gt;0,N(E819),H819)</f>
        <v>0</v>
      </c>
      <c r="J819" s="320">
        <f>I819*IF(N('Тонировочный инструмент'!D59)&gt;0,N('Тонировочный инструмент'!D59),N('Тонировочный инструмент'!F59))</f>
        <v>0</v>
      </c>
      <c r="K819" s="320">
        <f>I819*IF(N('Тонировочный инструмент'!E59)&gt;0,N('Тонировочный инструмент'!E59),N('Тонировочный инструмент'!F59))</f>
        <v>0</v>
      </c>
      <c r="L819" s="320">
        <f>N(L818)+(N(I819)&gt;0)</f>
        <v>0</v>
      </c>
    </row>
    <row r="820">
      <c r="A820" s="321" t="inlineStr">
        <is>
          <t xml:space="preserve">Тонировочный инструмент</t>
        </is>
      </c>
      <c r="B820" s="314" t="str">
        <f>'Тонировочный инструмент'!A60&amp;""</f>
        <v>GT 2102</v>
      </c>
      <c r="C820" s="315" t="str">
        <f>'Тонировочный инструмент'!B60&amp;""</f>
        <v>Выгонка прозрачная  "Clear Crush",13см</v>
      </c>
      <c r="D820" s="316" t="str">
        <f>IF('Тонировочный инструмент'!G60="+","есть",IF('Тонировочный инструмент'!G60="-","нет",""))</f>
        <v>есть</v>
      </c>
      <c r="E820" s="317"/>
      <c r="F820" s="318">
        <f>IF(N('Тонировочный инструмент'!F60)&lt;=0,"по запросу",CHOOSE($K$4,IF(N('Тонировочный инструмент'!D60)&gt;0,N('Тонировочный инструмент'!D60),N('Тонировочный инструмент'!F60)),IF(N('Тонировочный инструмент'!E60)&gt;0,N('Тонировочный инструмент'!E60),N('Тонировочный инструмент'!F60)),N('Тонировочный инструмент'!F60)))</f>
        <v>2016</v>
      </c>
      <c r="G820" s="319" t="str">
        <f>IF(I820&lt;=0,"",IF(ISNUMBER(F820),I820*F820,"по запросу"))</f>
        <v/>
      </c>
      <c r="H820" s="320">
        <f>N('Тонировочный инструмент'!H60)</f>
        <v>0</v>
      </c>
      <c r="I820" s="320">
        <f>IF(N(E820)&gt;0,N(E820),H820)</f>
        <v>0</v>
      </c>
      <c r="J820" s="320">
        <f>I820*IF(N('Тонировочный инструмент'!D60)&gt;0,N('Тонировочный инструмент'!D60),N('Тонировочный инструмент'!F60))</f>
        <v>0</v>
      </c>
      <c r="K820" s="320">
        <f>I820*IF(N('Тонировочный инструмент'!E60)&gt;0,N('Тонировочный инструмент'!E60),N('Тонировочный инструмент'!F60))</f>
        <v>0</v>
      </c>
      <c r="L820" s="320">
        <f>N(L819)+(N(I820)&gt;0)</f>
        <v>0</v>
      </c>
    </row>
    <row r="821">
      <c r="A821" s="321" t="inlineStr">
        <is>
          <t xml:space="preserve">Тонировочный инструмент</t>
        </is>
      </c>
      <c r="B821" s="314" t="str">
        <f>'Тонировочный инструмент'!A61&amp;""</f>
        <v>GT 2103</v>
      </c>
      <c r="C821" s="315" t="str">
        <f>'Тонировочный инструмент'!B61&amp;""</f>
        <v>Выгонка прозрачная трапеция "Clear Crush", 13см</v>
      </c>
      <c r="D821" s="316" t="str">
        <f>IF('Тонировочный инструмент'!G61="+","есть",IF('Тонировочный инструмент'!G61="-","нет",""))</f>
        <v>есть</v>
      </c>
      <c r="E821" s="317"/>
      <c r="F821" s="318">
        <f>IF(N('Тонировочный инструмент'!F61)&lt;=0,"по запросу",CHOOSE($K$4,IF(N('Тонировочный инструмент'!D61)&gt;0,N('Тонировочный инструмент'!D61),N('Тонировочный инструмент'!F61)),IF(N('Тонировочный инструмент'!E61)&gt;0,N('Тонировочный инструмент'!E61),N('Тонировочный инструмент'!F61)),N('Тонировочный инструмент'!F61)))</f>
        <v>1940.7</v>
      </c>
      <c r="G821" s="319" t="str">
        <f>IF(I821&lt;=0,"",IF(ISNUMBER(F821),I821*F821,"по запросу"))</f>
        <v/>
      </c>
      <c r="H821" s="320">
        <f>N('Тонировочный инструмент'!H61)</f>
        <v>0</v>
      </c>
      <c r="I821" s="320">
        <f>IF(N(E821)&gt;0,N(E821),H821)</f>
        <v>0</v>
      </c>
      <c r="J821" s="320">
        <f>I821*IF(N('Тонировочный инструмент'!D61)&gt;0,N('Тонировочный инструмент'!D61),N('Тонировочный инструмент'!F61))</f>
        <v>0</v>
      </c>
      <c r="K821" s="320">
        <f>I821*IF(N('Тонировочный инструмент'!E61)&gt;0,N('Тонировочный инструмент'!E61),N('Тонировочный инструмент'!F61))</f>
        <v>0</v>
      </c>
      <c r="L821" s="320">
        <f>N(L820)+(N(I821)&gt;0)</f>
        <v>0</v>
      </c>
    </row>
    <row r="822" ht="20" customHeight="1">
      <c r="A822" s="321" t="inlineStr">
        <is>
          <t xml:space="preserve">Тонировочный инструмент</t>
        </is>
      </c>
      <c r="B822" s="312" t="inlineStr">
        <is>
          <t xml:space="preserve">Скребки и приспособления для очистки</t>
        </is>
      </c>
      <c r="L822" s="320">
        <f>N(L821)+(N(I822)&gt;0)</f>
        <v>0</v>
      </c>
    </row>
    <row r="823">
      <c r="A823" s="321" t="inlineStr">
        <is>
          <t xml:space="preserve">Тонировочный инструмент</t>
        </is>
      </c>
      <c r="B823" s="314" t="str">
        <f>'Тонировочный инструмент'!A63&amp;""</f>
        <v>GT 045N</v>
      </c>
      <c r="C823" s="315" t="str">
        <f>'Тонировочный инструмент'!B63&amp;""</f>
        <v>Сменная черная резинка для GT 053-056, 3м</v>
      </c>
      <c r="D823" s="316" t="str">
        <f>IF('Тонировочный инструмент'!G63="+","есть",IF('Тонировочный инструмент'!G63="-","нет",""))</f>
        <v>есть</v>
      </c>
      <c r="E823" s="317"/>
      <c r="F823" s="318">
        <f>IF(N('Тонировочный инструмент'!F63)&lt;=0,"по запросу",CHOOSE($K$4,IF(N('Тонировочный инструмент'!D63)&gt;0,N('Тонировочный инструмент'!D63),N('Тонировочный инструмент'!F63)),IF(N('Тонировочный инструмент'!E63)&gt;0,N('Тонировочный инструмент'!E63),N('Тонировочный инструмент'!F63)),N('Тонировочный инструмент'!F63)))</f>
        <v>2084.8</v>
      </c>
      <c r="G823" s="319" t="str">
        <f>IF(I823&lt;=0,"",IF(ISNUMBER(F823),I823*F823,"по запросу"))</f>
        <v/>
      </c>
      <c r="H823" s="320">
        <f>N('Тонировочный инструмент'!H63)</f>
        <v>0</v>
      </c>
      <c r="I823" s="320">
        <f>IF(N(E823)&gt;0,N(E823),H823)</f>
        <v>0</v>
      </c>
      <c r="J823" s="320">
        <f>I823*IF(N('Тонировочный инструмент'!D63)&gt;0,N('Тонировочный инструмент'!D63),N('Тонировочный инструмент'!F63))</f>
        <v>0</v>
      </c>
      <c r="K823" s="320">
        <f>I823*IF(N('Тонировочный инструмент'!E63)&gt;0,N('Тонировочный инструмент'!E63),N('Тонировочный инструмент'!F63))</f>
        <v>0</v>
      </c>
      <c r="L823" s="320">
        <f>N(L822)+(N(I823)&gt;0)</f>
        <v>0</v>
      </c>
    </row>
    <row r="824">
      <c r="A824" s="321" t="inlineStr">
        <is>
          <t xml:space="preserve">Тонировочный инструмент</t>
        </is>
      </c>
      <c r="B824" s="314" t="str">
        <f>'Тонировочный инструмент'!A64&amp;""</f>
        <v>GT 050</v>
      </c>
      <c r="C824" s="315" t="str">
        <f>'Тонировочный инструмент'!B64&amp;""</f>
        <v>Металлический держатель с резиновой ручкой</v>
      </c>
      <c r="D824" s="316" t="str">
        <f>IF('Тонировочный инструмент'!G64="+","есть",IF('Тонировочный инструмент'!G64="-","нет",""))</f>
        <v>нет</v>
      </c>
      <c r="E824" s="317"/>
      <c r="F824" s="318" t="str">
        <f>IF(N('Тонировочный инструмент'!F64)&lt;=0,"по запросу",CHOOSE($K$4,IF(N('Тонировочный инструмент'!D64)&gt;0,N('Тонировочный инструмент'!D64),N('Тонировочный инструмент'!F64)),IF(N('Тонировочный инструмент'!E64)&gt;0,N('Тонировочный инструмент'!E64),N('Тонировочный инструмент'!F64)),N('Тонировочный инструмент'!F64)))</f>
        <v>по запросу</v>
      </c>
      <c r="G824" s="319" t="str">
        <f>IF(I824&lt;=0,"",IF(ISNUMBER(F824),I824*F824,"по запросу"))</f>
        <v/>
      </c>
      <c r="H824" s="320">
        <f>N('Тонировочный инструмент'!H64)</f>
        <v>0</v>
      </c>
      <c r="I824" s="320">
        <f>IF(N(E824)&gt;0,N(E824),H824)</f>
        <v>0</v>
      </c>
      <c r="J824" s="320">
        <f>I824*IF(N('Тонировочный инструмент'!D64)&gt;0,N('Тонировочный инструмент'!D64),N('Тонировочный инструмент'!F64))</f>
        <v>0</v>
      </c>
      <c r="K824" s="320">
        <f>I824*IF(N('Тонировочный инструмент'!E64)&gt;0,N('Тонировочный инструмент'!E64),N('Тонировочный инструмент'!F64))</f>
        <v>0</v>
      </c>
      <c r="L824" s="320">
        <f>N(L823)+(N(I824)&gt;0)</f>
        <v>0</v>
      </c>
    </row>
    <row r="825">
      <c r="A825" s="321" t="inlineStr">
        <is>
          <t xml:space="preserve">Тонировочный инструмент</t>
        </is>
      </c>
      <c r="B825" s="314" t="str">
        <f>'Тонировочный инструмент'!A65&amp;""</f>
        <v>GT 053</v>
      </c>
      <c r="C825" s="315" t="str">
        <f>'Тонировочный инструмент'!B65&amp;""</f>
        <v>Резина с металлическим кантом для мытья стекол, 15см</v>
      </c>
      <c r="D825" s="316" t="str">
        <f>IF('Тонировочный инструмент'!G65="+","есть",IF('Тонировочный инструмент'!G65="-","нет",""))</f>
        <v>нет</v>
      </c>
      <c r="E825" s="317"/>
      <c r="F825" s="318" t="str">
        <f>IF(N('Тонировочный инструмент'!F65)&lt;=0,"по запросу",CHOOSE($K$4,IF(N('Тонировочный инструмент'!D65)&gt;0,N('Тонировочный инструмент'!D65),N('Тонировочный инструмент'!F65)),IF(N('Тонировочный инструмент'!E65)&gt;0,N('Тонировочный инструмент'!E65),N('Тонировочный инструмент'!F65)),N('Тонировочный инструмент'!F65)))</f>
        <v>по запросу</v>
      </c>
      <c r="G825" s="319" t="str">
        <f>IF(I825&lt;=0,"",IF(ISNUMBER(F825),I825*F825,"по запросу"))</f>
        <v/>
      </c>
      <c r="H825" s="320">
        <f>N('Тонировочный инструмент'!H65)</f>
        <v>0</v>
      </c>
      <c r="I825" s="320">
        <f>IF(N(E825)&gt;0,N(E825),H825)</f>
        <v>0</v>
      </c>
      <c r="J825" s="320">
        <f>I825*IF(N('Тонировочный инструмент'!D65)&gt;0,N('Тонировочный инструмент'!D65),N('Тонировочный инструмент'!F65))</f>
        <v>0</v>
      </c>
      <c r="K825" s="320">
        <f>I825*IF(N('Тонировочный инструмент'!E65)&gt;0,N('Тонировочный инструмент'!E65),N('Тонировочный инструмент'!F65))</f>
        <v>0</v>
      </c>
      <c r="L825" s="320">
        <f>N(L824)+(N(I825)&gt;0)</f>
        <v>0</v>
      </c>
    </row>
    <row r="826">
      <c r="A826" s="321" t="inlineStr">
        <is>
          <t xml:space="preserve">Тонировочный инструмент</t>
        </is>
      </c>
      <c r="B826" s="314" t="str">
        <f>'Тонировочный инструмент'!A66&amp;""</f>
        <v>GT 055</v>
      </c>
      <c r="C826" s="315" t="str">
        <f>'Тонировочный инструмент'!B66&amp;""</f>
        <v>Резина с металлическим кантом для мытья стекол, 30см</v>
      </c>
      <c r="D826" s="316" t="str">
        <f>IF('Тонировочный инструмент'!G66="+","есть",IF('Тонировочный инструмент'!G66="-","нет",""))</f>
        <v>нет</v>
      </c>
      <c r="E826" s="317"/>
      <c r="F826" s="318" t="str">
        <f>IF(N('Тонировочный инструмент'!F66)&lt;=0,"по запросу",CHOOSE($K$4,IF(N('Тонировочный инструмент'!D66)&gt;0,N('Тонировочный инструмент'!D66),N('Тонировочный инструмент'!F66)),IF(N('Тонировочный инструмент'!E66)&gt;0,N('Тонировочный инструмент'!E66),N('Тонировочный инструмент'!F66)),N('Тонировочный инструмент'!F66)))</f>
        <v>по запросу</v>
      </c>
      <c r="G826" s="319" t="str">
        <f>IF(I826&lt;=0,"",IF(ISNUMBER(F826),I826*F826,"по запросу"))</f>
        <v/>
      </c>
      <c r="H826" s="320">
        <f>N('Тонировочный инструмент'!H66)</f>
        <v>0</v>
      </c>
      <c r="I826" s="320">
        <f>IF(N(E826)&gt;0,N(E826),H826)</f>
        <v>0</v>
      </c>
      <c r="J826" s="320">
        <f>I826*IF(N('Тонировочный инструмент'!D66)&gt;0,N('Тонировочный инструмент'!D66),N('Тонировочный инструмент'!F66))</f>
        <v>0</v>
      </c>
      <c r="K826" s="320">
        <f>I826*IF(N('Тонировочный инструмент'!E66)&gt;0,N('Тонировочный инструмент'!E66),N('Тонировочный инструмент'!F66))</f>
        <v>0</v>
      </c>
      <c r="L826" s="320">
        <f>N(L825)+(N(I826)&gt;0)</f>
        <v>0</v>
      </c>
    </row>
    <row r="827">
      <c r="A827" s="321" t="inlineStr">
        <is>
          <t xml:space="preserve">Тонировочный инструмент</t>
        </is>
      </c>
      <c r="B827" s="314" t="str">
        <f>'Тонировочный инструмент'!A67&amp;""</f>
        <v>GT 056</v>
      </c>
      <c r="C827" s="315" t="str">
        <f>'Тонировочный инструмент'!B67&amp;""</f>
        <v>Резина с металлическим кантом для мытья стекол, 50см</v>
      </c>
      <c r="D827" s="316" t="str">
        <f>IF('Тонировочный инструмент'!G67="+","есть",IF('Тонировочный инструмент'!G67="-","нет",""))</f>
        <v>нет</v>
      </c>
      <c r="E827" s="317"/>
      <c r="F827" s="318" t="str">
        <f>IF(N('Тонировочный инструмент'!F67)&lt;=0,"по запросу",CHOOSE($K$4,IF(N('Тонировочный инструмент'!D67)&gt;0,N('Тонировочный инструмент'!D67),N('Тонировочный инструмент'!F67)),IF(N('Тонировочный инструмент'!E67)&gt;0,N('Тонировочный инструмент'!E67),N('Тонировочный инструмент'!F67)),N('Тонировочный инструмент'!F67)))</f>
        <v>по запросу</v>
      </c>
      <c r="G827" s="319" t="str">
        <f>IF(I827&lt;=0,"",IF(ISNUMBER(F827),I827*F827,"по запросу"))</f>
        <v/>
      </c>
      <c r="H827" s="320">
        <f>N('Тонировочный инструмент'!H67)</f>
        <v>0</v>
      </c>
      <c r="I827" s="320">
        <f>IF(N(E827)&gt;0,N(E827),H827)</f>
        <v>0</v>
      </c>
      <c r="J827" s="320">
        <f>I827*IF(N('Тонировочный инструмент'!D67)&gt;0,N('Тонировочный инструмент'!D67),N('Тонировочный инструмент'!F67))</f>
        <v>0</v>
      </c>
      <c r="K827" s="320">
        <f>I827*IF(N('Тонировочный инструмент'!E67)&gt;0,N('Тонировочный инструмент'!E67),N('Тонировочный инструмент'!F67))</f>
        <v>0</v>
      </c>
      <c r="L827" s="320">
        <f>N(L826)+(N(I827)&gt;0)</f>
        <v>0</v>
      </c>
    </row>
    <row r="828">
      <c r="A828" s="321" t="inlineStr">
        <is>
          <t xml:space="preserve">Тонировочный инструмент</t>
        </is>
      </c>
      <c r="B828" s="314" t="str">
        <f>'Тонировочный инструмент'!A68&amp;""</f>
        <v>GT 107</v>
      </c>
      <c r="C828" s="315" t="str">
        <f>'Тонировочный инструмент'!B68&amp;""</f>
        <v>Скребок "Triumph" для чистки стекол с большой поверхностью, 15см </v>
      </c>
      <c r="D828" s="316" t="str">
        <f>IF('Тонировочный инструмент'!G68="+","есть",IF('Тонировочный инструмент'!G68="-","нет",""))</f>
        <v>есть</v>
      </c>
      <c r="E828" s="317"/>
      <c r="F828" s="318">
        <f>IF(N('Тонировочный инструмент'!F68)&lt;=0,"по запросу",CHOOSE($K$4,IF(N('Тонировочный инструмент'!D68)&gt;0,N('Тонировочный инструмент'!D68),N('Тонировочный инструмент'!F68)),IF(N('Тонировочный инструмент'!E68)&gt;0,N('Тонировочный инструмент'!E68),N('Тонировочный инструмент'!F68)),N('Тонировочный инструмент'!F68)))</f>
        <v>3283.7</v>
      </c>
      <c r="G828" s="319" t="str">
        <f>IF(I828&lt;=0,"",IF(ISNUMBER(F828),I828*F828,"по запросу"))</f>
        <v/>
      </c>
      <c r="H828" s="320">
        <f>N('Тонировочный инструмент'!H68)</f>
        <v>0</v>
      </c>
      <c r="I828" s="320">
        <f>IF(N(E828)&gt;0,N(E828),H828)</f>
        <v>0</v>
      </c>
      <c r="J828" s="320">
        <f>I828*IF(N('Тонировочный инструмент'!D68)&gt;0,N('Тонировочный инструмент'!D68),N('Тонировочный инструмент'!F68))</f>
        <v>0</v>
      </c>
      <c r="K828" s="320">
        <f>I828*IF(N('Тонировочный инструмент'!E68)&gt;0,N('Тонировочный инструмент'!E68),N('Тонировочный инструмент'!F68))</f>
        <v>0</v>
      </c>
      <c r="L828" s="320">
        <f>N(L827)+(N(I828)&gt;0)</f>
        <v>0</v>
      </c>
    </row>
    <row r="829">
      <c r="A829" s="321" t="inlineStr">
        <is>
          <t xml:space="preserve">Тонировочный инструмент</t>
        </is>
      </c>
      <c r="B829" s="314" t="str">
        <f>'Тонировочный инструмент'!A69&amp;""</f>
        <v>GT 109</v>
      </c>
      <c r="C829" s="315" t="str">
        <f>'Тонировочный инструмент'!B69&amp;""</f>
        <v>Держатель Help Scraper с длинной ручкой для  лезвий GT140,GT137</v>
      </c>
      <c r="D829" s="316" t="str">
        <f>IF('Тонировочный инструмент'!G69="+","есть",IF('Тонировочный инструмент'!G69="-","нет",""))</f>
        <v>есть</v>
      </c>
      <c r="E829" s="317"/>
      <c r="F829" s="318">
        <f>IF(N('Тонировочный инструмент'!F69)&lt;=0,"по запросу",CHOOSE($K$4,IF(N('Тонировочный инструмент'!D69)&gt;0,N('Тонировочный инструмент'!D69),N('Тонировочный инструмент'!F69)),IF(N('Тонировочный инструмент'!E69)&gt;0,N('Тонировочный инструмент'!E69),N('Тонировочный инструмент'!F69)),N('Тонировочный инструмент'!F69)))</f>
        <v>1302.5</v>
      </c>
      <c r="G829" s="319" t="str">
        <f>IF(I829&lt;=0,"",IF(ISNUMBER(F829),I829*F829,"по запросу"))</f>
        <v/>
      </c>
      <c r="H829" s="320">
        <f>N('Тонировочный инструмент'!H69)</f>
        <v>0</v>
      </c>
      <c r="I829" s="320">
        <f>IF(N(E829)&gt;0,N(E829),H829)</f>
        <v>0</v>
      </c>
      <c r="J829" s="320">
        <f>I829*IF(N('Тонировочный инструмент'!D69)&gt;0,N('Тонировочный инструмент'!D69),N('Тонировочный инструмент'!F69))</f>
        <v>0</v>
      </c>
      <c r="K829" s="320">
        <f>I829*IF(N('Тонировочный инструмент'!E69)&gt;0,N('Тонировочный инструмент'!E69),N('Тонировочный инструмент'!F69))</f>
        <v>0</v>
      </c>
      <c r="L829" s="320">
        <f>N(L828)+(N(I829)&gt;0)</f>
        <v>0</v>
      </c>
    </row>
    <row r="830">
      <c r="A830" s="321" t="inlineStr">
        <is>
          <t xml:space="preserve">Тонировочный инструмент</t>
        </is>
      </c>
      <c r="B830" s="314" t="str">
        <f>'Тонировочный инструмент'!A70&amp;""</f>
        <v>GT 118-6</v>
      </c>
      <c r="C830" s="315" t="str">
        <f>'Тонировочный инструмент'!B70&amp;""</f>
        <v>Жесткая вставка для GT 053, GT 207, 15см</v>
      </c>
      <c r="D830" s="316" t="str">
        <f>IF('Тонировочный инструмент'!G70="+","есть",IF('Тонировочный инструмент'!G70="-","нет",""))</f>
        <v>нет</v>
      </c>
      <c r="E830" s="317"/>
      <c r="F830" s="318" t="str">
        <f>IF(N('Тонировочный инструмент'!F70)&lt;=0,"по запросу",CHOOSE($K$4,IF(N('Тонировочный инструмент'!D70)&gt;0,N('Тонировочный инструмент'!D70),N('Тонировочный инструмент'!F70)),IF(N('Тонировочный инструмент'!E70)&gt;0,N('Тонировочный инструмент'!E70),N('Тонировочный инструмент'!F70)),N('Тонировочный инструмент'!F70)))</f>
        <v>по запросу</v>
      </c>
      <c r="G830" s="319" t="str">
        <f>IF(I830&lt;=0,"",IF(ISNUMBER(F830),I830*F830,"по запросу"))</f>
        <v/>
      </c>
      <c r="H830" s="320">
        <f>N('Тонировочный инструмент'!H70)</f>
        <v>0</v>
      </c>
      <c r="I830" s="320">
        <f>IF(N(E830)&gt;0,N(E830),H830)</f>
        <v>0</v>
      </c>
      <c r="J830" s="320">
        <f>I830*IF(N('Тонировочный инструмент'!D70)&gt;0,N('Тонировочный инструмент'!D70),N('Тонировочный инструмент'!F70))</f>
        <v>0</v>
      </c>
      <c r="K830" s="320">
        <f>I830*IF(N('Тонировочный инструмент'!E70)&gt;0,N('Тонировочный инструмент'!E70),N('Тонировочный инструмент'!F70))</f>
        <v>0</v>
      </c>
      <c r="L830" s="320">
        <f>N(L829)+(N(I830)&gt;0)</f>
        <v>0</v>
      </c>
    </row>
    <row r="831">
      <c r="A831" s="321" t="inlineStr">
        <is>
          <t xml:space="preserve">Тонировочный инструмент</t>
        </is>
      </c>
      <c r="B831" s="314" t="str">
        <f>'Тонировочный инструмент'!A71&amp;""</f>
        <v>GT 118-18</v>
      </c>
      <c r="C831" s="315" t="str">
        <f>'Тонировочный инструмент'!B71&amp;""</f>
        <v>Жесткая вставка для GT 053-056, 45см</v>
      </c>
      <c r="D831" s="316" t="str">
        <f>IF('Тонировочный инструмент'!G71="+","есть",IF('Тонировочный инструмент'!G71="-","нет",""))</f>
        <v>есть</v>
      </c>
      <c r="E831" s="317"/>
      <c r="F831" s="318">
        <f>IF(N('Тонировочный инструмент'!F71)&lt;=0,"по запросу",CHOOSE($K$4,IF(N('Тонировочный инструмент'!D71)&gt;0,N('Тонировочный инструмент'!D71),N('Тонировочный инструмент'!F71)),IF(N('Тонировочный инструмент'!E71)&gt;0,N('Тонировочный инструмент'!E71),N('Тонировочный инструмент'!F71)),N('Тонировочный инструмент'!F71)))</f>
        <v>824.3</v>
      </c>
      <c r="G831" s="319" t="str">
        <f>IF(I831&lt;=0,"",IF(ISNUMBER(F831),I831*F831,"по запросу"))</f>
        <v/>
      </c>
      <c r="H831" s="320">
        <f>N('Тонировочный инструмент'!H71)</f>
        <v>0</v>
      </c>
      <c r="I831" s="320">
        <f>IF(N(E831)&gt;0,N(E831),H831)</f>
        <v>0</v>
      </c>
      <c r="J831" s="320">
        <f>I831*IF(N('Тонировочный инструмент'!D71)&gt;0,N('Тонировочный инструмент'!D71),N('Тонировочный инструмент'!F71))</f>
        <v>0</v>
      </c>
      <c r="K831" s="320">
        <f>I831*IF(N('Тонировочный инструмент'!E71)&gt;0,N('Тонировочный инструмент'!E71),N('Тонировочный инструмент'!F71))</f>
        <v>0</v>
      </c>
      <c r="L831" s="320">
        <f>N(L830)+(N(I831)&gt;0)</f>
        <v>0</v>
      </c>
    </row>
    <row r="832">
      <c r="A832" s="321" t="inlineStr">
        <is>
          <t xml:space="preserve">Тонировочный инструмент</t>
        </is>
      </c>
      <c r="B832" s="314" t="str">
        <f>'Тонировочный инструмент'!A72&amp;""</f>
        <v>GT 138 HYDE</v>
      </c>
      <c r="C832" s="315" t="str">
        <f>'Тонировочный инструмент'!B72&amp;""</f>
        <v>Держатель металлический с выдвижным лезвием  эргон.форма</v>
      </c>
      <c r="D832" s="316" t="str">
        <f>IF('Тонировочный инструмент'!G72="+","есть",IF('Тонировочный инструмент'!G72="-","нет",""))</f>
        <v>есть</v>
      </c>
      <c r="E832" s="317"/>
      <c r="F832" s="318">
        <f>IF(N('Тонировочный инструмент'!F72)&lt;=0,"по запросу",CHOOSE($K$4,IF(N('Тонировочный инструмент'!D72)&gt;0,N('Тонировочный инструмент'!D72),N('Тонировочный инструмент'!F72)),IF(N('Тонировочный инструмент'!E72)&gt;0,N('Тонировочный инструмент'!E72),N('Тонировочный инструмент'!F72)),N('Тонировочный инструмент'!F72)))</f>
        <v>355.9</v>
      </c>
      <c r="G832" s="319" t="str">
        <f>IF(I832&lt;=0,"",IF(ISNUMBER(F832),I832*F832,"по запросу"))</f>
        <v/>
      </c>
      <c r="H832" s="320">
        <f>N('Тонировочный инструмент'!H72)</f>
        <v>0</v>
      </c>
      <c r="I832" s="320">
        <f>IF(N(E832)&gt;0,N(E832),H832)</f>
        <v>0</v>
      </c>
      <c r="J832" s="320">
        <f>I832*IF(N('Тонировочный инструмент'!D72)&gt;0,N('Тонировочный инструмент'!D72),N('Тонировочный инструмент'!F72))</f>
        <v>0</v>
      </c>
      <c r="K832" s="320">
        <f>I832*IF(N('Тонировочный инструмент'!E72)&gt;0,N('Тонировочный инструмент'!E72),N('Тонировочный инструмент'!F72))</f>
        <v>0</v>
      </c>
      <c r="L832" s="320">
        <f>N(L831)+(N(I832)&gt;0)</f>
        <v>0</v>
      </c>
    </row>
    <row r="833">
      <c r="A833" s="321" t="inlineStr">
        <is>
          <t xml:space="preserve">Тонировочный инструмент</t>
        </is>
      </c>
      <c r="B833" s="314" t="str">
        <f>'Тонировочный инструмент'!A73&amp;""</f>
        <v>GT 210</v>
      </c>
      <c r="C833" s="315" t="str">
        <f>'Тонировочный инструмент'!B73&amp;""</f>
        <v>Скребок "Triumph" для чистки стекол, 7,5см</v>
      </c>
      <c r="D833" s="316" t="str">
        <f>IF('Тонировочный инструмент'!G73="+","есть",IF('Тонировочный инструмент'!G73="-","нет",""))</f>
        <v>есть</v>
      </c>
      <c r="E833" s="317"/>
      <c r="F833" s="318">
        <f>IF(N('Тонировочный инструмент'!F73)&lt;=0,"по запросу",CHOOSE($K$4,IF(N('Тонировочный инструмент'!D73)&gt;0,N('Тонировочный инструмент'!D73),N('Тонировочный инструмент'!F73)),IF(N('Тонировочный инструмент'!E73)&gt;0,N('Тонировочный инструмент'!E73),N('Тонировочный инструмент'!F73)),N('Тонировочный инструмент'!F73)))</f>
        <v>518.1</v>
      </c>
      <c r="G833" s="319" t="str">
        <f>IF(I833&lt;=0,"",IF(ISNUMBER(F833),I833*F833,"по запросу"))</f>
        <v/>
      </c>
      <c r="H833" s="320">
        <f>N('Тонировочный инструмент'!H73)</f>
        <v>0</v>
      </c>
      <c r="I833" s="320">
        <f>IF(N(E833)&gt;0,N(E833),H833)</f>
        <v>0</v>
      </c>
      <c r="J833" s="320">
        <f>I833*IF(N('Тонировочный инструмент'!D73)&gt;0,N('Тонировочный инструмент'!D73),N('Тонировочный инструмент'!F73))</f>
        <v>0</v>
      </c>
      <c r="K833" s="320">
        <f>I833*IF(N('Тонировочный инструмент'!E73)&gt;0,N('Тонировочный инструмент'!E73),N('Тонировочный инструмент'!F73))</f>
        <v>0</v>
      </c>
      <c r="L833" s="320">
        <f>N(L832)+(N(I833)&gt;0)</f>
        <v>0</v>
      </c>
    </row>
    <row r="834">
      <c r="A834" s="321" t="inlineStr">
        <is>
          <t xml:space="preserve">Тонировочный инструмент</t>
        </is>
      </c>
      <c r="B834" s="314" t="str">
        <f>'Тонировочный инструмент'!A74&amp;""</f>
        <v>GT 212</v>
      </c>
      <c r="C834" s="315" t="str">
        <f>'Тонировочный инструмент'!B74&amp;""</f>
        <v>Пластмассовый скребок-держатель для металлических лезвий</v>
      </c>
      <c r="D834" s="316" t="str">
        <f>IF('Тонировочный инструмент'!G74="+","есть",IF('Тонировочный инструмент'!G74="-","нет",""))</f>
        <v>есть</v>
      </c>
      <c r="E834" s="317"/>
      <c r="F834" s="318">
        <f>IF(N('Тонировочный инструмент'!F74)&lt;=0,"по запросу",CHOOSE($K$4,IF(N('Тонировочный инструмент'!D74)&gt;0,N('Тонировочный инструмент'!D74),N('Тонировочный инструмент'!F74)),IF(N('Тонировочный инструмент'!E74)&gt;0,N('Тонировочный инструмент'!E74),N('Тонировочный инструмент'!F74)),N('Тонировочный инструмент'!F74)))</f>
        <v>180.5</v>
      </c>
      <c r="G834" s="319" t="str">
        <f>IF(I834&lt;=0,"",IF(ISNUMBER(F834),I834*F834,"по запросу"))</f>
        <v/>
      </c>
      <c r="H834" s="320">
        <f>N('Тонировочный инструмент'!H74)</f>
        <v>0</v>
      </c>
      <c r="I834" s="320">
        <f>IF(N(E834)&gt;0,N(E834),H834)</f>
        <v>0</v>
      </c>
      <c r="J834" s="320">
        <f>I834*IF(N('Тонировочный инструмент'!D74)&gt;0,N('Тонировочный инструмент'!D74),N('Тонировочный инструмент'!F74))</f>
        <v>0</v>
      </c>
      <c r="K834" s="320">
        <f>I834*IF(N('Тонировочный инструмент'!E74)&gt;0,N('Тонировочный инструмент'!E74),N('Тонировочный инструмент'!F74))</f>
        <v>0</v>
      </c>
      <c r="L834" s="320">
        <f>N(L833)+(N(I834)&gt;0)</f>
        <v>0</v>
      </c>
    </row>
    <row r="835" ht="20" customHeight="1">
      <c r="A835" s="321" t="inlineStr">
        <is>
          <t xml:space="preserve">Тонировочный инструмент</t>
        </is>
      </c>
      <c r="B835" s="312" t="inlineStr">
        <is>
          <t xml:space="preserve">Специальные материалы для установки виниловых и полиуретановых пленок</t>
        </is>
      </c>
      <c r="L835" s="320">
        <f>N(L834)+(N(I835)&gt;0)</f>
        <v>0</v>
      </c>
    </row>
    <row r="836">
      <c r="A836" s="321" t="inlineStr">
        <is>
          <t xml:space="preserve">Тонировочный инструмент</t>
        </is>
      </c>
      <c r="B836" s="314" t="str">
        <f>'Тонировочный инструмент'!A76&amp;""</f>
        <v>GT 1000</v>
      </c>
      <c r="C836" s="315" t="str">
        <f>'Тонировочный инструмент'!B76&amp;""</f>
        <v>Выгонка из фетра MACTAC</v>
      </c>
      <c r="D836" s="316" t="str">
        <f>IF('Тонировочный инструмент'!G76="+","есть",IF('Тонировочный инструмент'!G76="-","нет",""))</f>
        <v>нет</v>
      </c>
      <c r="E836" s="317"/>
      <c r="F836" s="318" t="str">
        <f>IF(N('Тонировочный инструмент'!F76)&lt;=0,"по запросу",CHOOSE($K$4,IF(N('Тонировочный инструмент'!D76)&gt;0,N('Тонировочный инструмент'!D76),N('Тонировочный инструмент'!F76)),IF(N('Тонировочный инструмент'!E76)&gt;0,N('Тонировочный инструмент'!E76),N('Тонировочный инструмент'!F76)),N('Тонировочный инструмент'!F76)))</f>
        <v>по запросу</v>
      </c>
      <c r="G836" s="319" t="str">
        <f>IF(I836&lt;=0,"",IF(ISNUMBER(F836),I836*F836,"по запросу"))</f>
        <v/>
      </c>
      <c r="H836" s="320">
        <f>N('Тонировочный инструмент'!H76)</f>
        <v>0</v>
      </c>
      <c r="I836" s="320">
        <f>IF(N(E836)&gt;0,N(E836),H836)</f>
        <v>0</v>
      </c>
      <c r="J836" s="320">
        <f>I836*IF(N('Тонировочный инструмент'!D76)&gt;0,N('Тонировочный инструмент'!D76),N('Тонировочный инструмент'!F76))</f>
        <v>0</v>
      </c>
      <c r="K836" s="320">
        <f>I836*IF(N('Тонировочный инструмент'!E76)&gt;0,N('Тонировочный инструмент'!E76),N('Тонировочный инструмент'!F76))</f>
        <v>0</v>
      </c>
      <c r="L836" s="320">
        <f>N(L835)+(N(I836)&gt;0)</f>
        <v>0</v>
      </c>
    </row>
    <row r="837">
      <c r="A837" s="321" t="inlineStr">
        <is>
          <t xml:space="preserve">Тонировочный инструмент</t>
        </is>
      </c>
      <c r="B837" s="314" t="str">
        <f>'Тонировочный инструмент'!A77&amp;""</f>
        <v>GT 1010</v>
      </c>
      <c r="C837" s="315" t="str">
        <f>'Тонировочный инструмент'!B77&amp;""</f>
        <v>Выгонка 3М для установки антигравийной пленки, 7,5см * 5,0см </v>
      </c>
      <c r="D837" s="316" t="str">
        <f>IF('Тонировочный инструмент'!G77="+","есть",IF('Тонировочный инструмент'!G77="-","нет",""))</f>
        <v>есть</v>
      </c>
      <c r="E837" s="317"/>
      <c r="F837" s="318">
        <f>IF(N('Тонировочный инструмент'!F77)&lt;=0,"по запросу",CHOOSE($K$4,IF(N('Тонировочный инструмент'!D77)&gt;0,N('Тонировочный инструмент'!D77),N('Тонировочный инструмент'!F77)),IF(N('Тонировочный инструмент'!E77)&gt;0,N('Тонировочный инструмент'!E77),N('Тонировочный инструмент'!F77)),N('Тонировочный инструмент'!F77)))</f>
        <v>925.5</v>
      </c>
      <c r="G837" s="319" t="str">
        <f>IF(I837&lt;=0,"",IF(ISNUMBER(F837),I837*F837,"по запросу"))</f>
        <v/>
      </c>
      <c r="H837" s="320">
        <f>N('Тонировочный инструмент'!H77)</f>
        <v>0</v>
      </c>
      <c r="I837" s="320">
        <f>IF(N(E837)&gt;0,N(E837),H837)</f>
        <v>0</v>
      </c>
      <c r="J837" s="320">
        <f>I837*IF(N('Тонировочный инструмент'!D77)&gt;0,N('Тонировочный инструмент'!D77),N('Тонировочный инструмент'!F77))</f>
        <v>0</v>
      </c>
      <c r="K837" s="320">
        <f>I837*IF(N('Тонировочный инструмент'!E77)&gt;0,N('Тонировочный инструмент'!E77),N('Тонировочный инструмент'!F77))</f>
        <v>0</v>
      </c>
      <c r="L837" s="320">
        <f>N(L836)+(N(I837)&gt;0)</f>
        <v>0</v>
      </c>
    </row>
    <row r="838">
      <c r="A838" s="321" t="inlineStr">
        <is>
          <t xml:space="preserve">Тонировочный инструмент</t>
        </is>
      </c>
      <c r="B838" s="314" t="str">
        <f>'Тонировочный инструмент'!A78&amp;""</f>
        <v>GT 1022</v>
      </c>
      <c r="C838" s="315" t="str">
        <f>'Тонировочный инструмент'!B78&amp;""</f>
        <v>Выгонка с синей вставкой</v>
      </c>
      <c r="D838" s="316" t="str">
        <f>IF('Тонировочный инструмент'!G78="+","есть",IF('Тонировочный инструмент'!G78="-","нет",""))</f>
        <v>есть</v>
      </c>
      <c r="E838" s="317"/>
      <c r="F838" s="318">
        <f>IF(N('Тонировочный инструмент'!F78)&lt;=0,"по запросу",CHOOSE($K$4,IF(N('Тонировочный инструмент'!D78)&gt;0,N('Тонировочный инструмент'!D78),N('Тонировочный инструмент'!F78)),IF(N('Тонировочный инструмент'!E78)&gt;0,N('Тонировочный инструмент'!E78),N('Тонировочный инструмент'!F78)),N('Тонировочный инструмент'!F78)))</f>
        <v>4571.6</v>
      </c>
      <c r="G838" s="319" t="str">
        <f>IF(I838&lt;=0,"",IF(ISNUMBER(F838),I838*F838,"по запросу"))</f>
        <v/>
      </c>
      <c r="H838" s="320">
        <f>N('Тонировочный инструмент'!H78)</f>
        <v>0</v>
      </c>
      <c r="I838" s="320">
        <f>IF(N(E838)&gt;0,N(E838),H838)</f>
        <v>0</v>
      </c>
      <c r="J838" s="320">
        <f>I838*IF(N('Тонировочный инструмент'!D78)&gt;0,N('Тонировочный инструмент'!D78),N('Тонировочный инструмент'!F78))</f>
        <v>0</v>
      </c>
      <c r="K838" s="320">
        <f>I838*IF(N('Тонировочный инструмент'!E78)&gt;0,N('Тонировочный инструмент'!E78),N('Тонировочный инструмент'!F78))</f>
        <v>0</v>
      </c>
      <c r="L838" s="320">
        <f>N(L837)+(N(I838)&gt;0)</f>
        <v>0</v>
      </c>
    </row>
    <row r="839">
      <c r="A839" s="321" t="inlineStr">
        <is>
          <t xml:space="preserve">Тонировочный инструмент</t>
        </is>
      </c>
      <c r="B839" s="314" t="str">
        <f>'Тонировочный инструмент'!A79&amp;""</f>
        <v>GT 2109 Fusion Blue</v>
      </c>
      <c r="C839" s="315" t="str">
        <f>'Тонировочный инструмент'!B79&amp;""</f>
        <v>Вставка для GT 1022 жесткость 94</v>
      </c>
      <c r="D839" s="316" t="str">
        <f>IF('Тонировочный инструмент'!G79="+","есть",IF('Тонировочный инструмент'!G79="-","нет",""))</f>
        <v>есть</v>
      </c>
      <c r="E839" s="317"/>
      <c r="F839" s="318">
        <f>IF(N('Тонировочный инструмент'!F79)&lt;=0,"по запросу",CHOOSE($K$4,IF(N('Тонировочный инструмент'!D79)&gt;0,N('Тонировочный инструмент'!D79),N('Тонировочный инструмент'!F79)),IF(N('Тонировочный инструмент'!E79)&gt;0,N('Тонировочный инструмент'!E79),N('Тонировочный инструмент'!F79)),N('Тонировочный инструмент'!F79)))</f>
        <v>585.6</v>
      </c>
      <c r="G839" s="319" t="str">
        <f>IF(I839&lt;=0,"",IF(ISNUMBER(F839),I839*F839,"по запросу"))</f>
        <v/>
      </c>
      <c r="H839" s="320">
        <f>N('Тонировочный инструмент'!H79)</f>
        <v>0</v>
      </c>
      <c r="I839" s="320">
        <f>IF(N(E839)&gt;0,N(E839),H839)</f>
        <v>0</v>
      </c>
      <c r="J839" s="320">
        <f>I839*IF(N('Тонировочный инструмент'!D79)&gt;0,N('Тонировочный инструмент'!D79),N('Тонировочный инструмент'!F79))</f>
        <v>0</v>
      </c>
      <c r="K839" s="320">
        <f>I839*IF(N('Тонировочный инструмент'!E79)&gt;0,N('Тонировочный инструмент'!E79),N('Тонировочный инструмент'!F79))</f>
        <v>0</v>
      </c>
      <c r="L839" s="320">
        <f>N(L838)+(N(I839)&gt;0)</f>
        <v>0</v>
      </c>
    </row>
    <row r="840">
      <c r="A840" s="321" t="inlineStr">
        <is>
          <t xml:space="preserve">Тонировочный инструмент</t>
        </is>
      </c>
      <c r="B840" s="314" t="str">
        <f>'Тонировочный инструмент'!A80&amp;""</f>
        <v>GT 2110 Fusion Orange</v>
      </c>
      <c r="C840" s="315" t="str">
        <f>'Тонировочный инструмент'!B80&amp;""</f>
        <v> Вставка для GT 1022 жесткость 85</v>
      </c>
      <c r="D840" s="316" t="str">
        <f>IF('Тонировочный инструмент'!G80="+","есть",IF('Тонировочный инструмент'!G80="-","нет",""))</f>
        <v>есть</v>
      </c>
      <c r="E840" s="317"/>
      <c r="F840" s="318">
        <f>IF(N('Тонировочный инструмент'!F80)&lt;=0,"по запросу",CHOOSE($K$4,IF(N('Тонировочный инструмент'!D80)&gt;0,N('Тонировочный инструмент'!D80),N('Тонировочный инструмент'!F80)),IF(N('Тонировочный инструмент'!E80)&gt;0,N('Тонировочный инструмент'!E80),N('Тонировочный инструмент'!F80)),N('Тонировочный инструмент'!F80)))</f>
        <v>585.6</v>
      </c>
      <c r="G840" s="319" t="str">
        <f>IF(I840&lt;=0,"",IF(ISNUMBER(F840),I840*F840,"по запросу"))</f>
        <v/>
      </c>
      <c r="H840" s="320">
        <f>N('Тонировочный инструмент'!H80)</f>
        <v>0</v>
      </c>
      <c r="I840" s="320">
        <f>IF(N(E840)&gt;0,N(E840),H840)</f>
        <v>0</v>
      </c>
      <c r="J840" s="320">
        <f>I840*IF(N('Тонировочный инструмент'!D80)&gt;0,N('Тонировочный инструмент'!D80),N('Тонировочный инструмент'!F80))</f>
        <v>0</v>
      </c>
      <c r="K840" s="320">
        <f>I840*IF(N('Тонировочный инструмент'!E80)&gt;0,N('Тонировочный инструмент'!E80),N('Тонировочный инструмент'!F80))</f>
        <v>0</v>
      </c>
      <c r="L840" s="320">
        <f>N(L839)+(N(I840)&gt;0)</f>
        <v>0</v>
      </c>
    </row>
    <row r="841">
      <c r="A841" s="321" t="inlineStr">
        <is>
          <t xml:space="preserve">Тонировочный инструмент</t>
        </is>
      </c>
      <c r="B841" s="314" t="str">
        <f>'Тонировочный инструмент'!A81&amp;""</f>
        <v>GT 1064</v>
      </c>
      <c r="C841" s="315" t="str">
        <f>'Тонировочный инструмент'!B81&amp;""</f>
        <v>Выгонка с фетровой вставкой, 10см</v>
      </c>
      <c r="D841" s="316" t="str">
        <f>IF('Тонировочный инструмент'!G81="+","есть",IF('Тонировочный инструмент'!G81="-","нет",""))</f>
        <v>есть</v>
      </c>
      <c r="E841" s="317"/>
      <c r="F841" s="318">
        <f>IF(N('Тонировочный инструмент'!F81)&lt;=0,"по запросу",CHOOSE($K$4,IF(N('Тонировочный инструмент'!D81)&gt;0,N('Тонировочный инструмент'!D81),N('Тонировочный инструмент'!F81)),IF(N('Тонировочный инструмент'!E81)&gt;0,N('Тонировочный инструмент'!E81),N('Тонировочный инструмент'!F81)),N('Тонировочный инструмент'!F81)))</f>
        <v>317.5</v>
      </c>
      <c r="G841" s="319" t="str">
        <f>IF(I841&lt;=0,"",IF(ISNUMBER(F841),I841*F841,"по запросу"))</f>
        <v/>
      </c>
      <c r="H841" s="320">
        <f>N('Тонировочный инструмент'!H81)</f>
        <v>0</v>
      </c>
      <c r="I841" s="320">
        <f>IF(N(E841)&gt;0,N(E841),H841)</f>
        <v>0</v>
      </c>
      <c r="J841" s="320">
        <f>I841*IF(N('Тонировочный инструмент'!D81)&gt;0,N('Тонировочный инструмент'!D81),N('Тонировочный инструмент'!F81))</f>
        <v>0</v>
      </c>
      <c r="K841" s="320">
        <f>I841*IF(N('Тонировочный инструмент'!E81)&gt;0,N('Тонировочный инструмент'!E81),N('Тонировочный инструмент'!F81))</f>
        <v>0</v>
      </c>
      <c r="L841" s="320">
        <f>N(L840)+(N(I841)&gt;0)</f>
        <v>0</v>
      </c>
    </row>
    <row r="842">
      <c r="A842" s="321" t="inlineStr">
        <is>
          <t xml:space="preserve">Тонировочный инструмент</t>
        </is>
      </c>
      <c r="B842" s="314" t="str">
        <f>'Тонировочный инструмент'!A82&amp;""</f>
        <v>GT 1065</v>
      </c>
      <c r="C842" s="315" t="str">
        <f>'Тонировочный инструмент'!B82&amp;""</f>
        <v>Фетровая муфта, 10см</v>
      </c>
      <c r="D842" s="316" t="str">
        <f>IF('Тонировочный инструмент'!G82="+","есть",IF('Тонировочный инструмент'!G82="-","нет",""))</f>
        <v>есть</v>
      </c>
      <c r="E842" s="317"/>
      <c r="F842" s="318">
        <f>IF(N('Тонировочный инструмент'!F82)&lt;=0,"по запросу",CHOOSE($K$4,IF(N('Тонировочный инструмент'!D82)&gt;0,N('Тонировочный инструмент'!D82),N('Тонировочный инструмент'!F82)),IF(N('Тонировочный инструмент'!E82)&gt;0,N('Тонировочный инструмент'!E82),N('Тонировочный инструмент'!F82)),N('Тонировочный инструмент'!F82)))</f>
        <v>167</v>
      </c>
      <c r="G842" s="319" t="str">
        <f>IF(I842&lt;=0,"",IF(ISNUMBER(F842),I842*F842,"по запросу"))</f>
        <v/>
      </c>
      <c r="H842" s="320">
        <f>N('Тонировочный инструмент'!H82)</f>
        <v>0</v>
      </c>
      <c r="I842" s="320">
        <f>IF(N(E842)&gt;0,N(E842),H842)</f>
        <v>0</v>
      </c>
      <c r="J842" s="320">
        <f>I842*IF(N('Тонировочный инструмент'!D82)&gt;0,N('Тонировочный инструмент'!D82),N('Тонировочный инструмент'!F82))</f>
        <v>0</v>
      </c>
      <c r="K842" s="320">
        <f>I842*IF(N('Тонировочный инструмент'!E82)&gt;0,N('Тонировочный инструмент'!E82),N('Тонировочный инструмент'!F82))</f>
        <v>0</v>
      </c>
      <c r="L842" s="320">
        <f>N(L841)+(N(I842)&gt;0)</f>
        <v>0</v>
      </c>
    </row>
    <row r="843">
      <c r="A843" s="321" t="inlineStr">
        <is>
          <t xml:space="preserve">Тонировочный инструмент</t>
        </is>
      </c>
      <c r="B843" s="314" t="str">
        <f>'Тонировочный инструмент'!A83&amp;""</f>
        <v>GT 266</v>
      </c>
      <c r="C843" s="315" t="str">
        <f>'Тонировочный инструмент'!B83&amp;""</f>
        <v>Сменные стальные лезвия для ножа "Silver Cutter Olfa" (спец. для PPF и Vinyl), 10шт.</v>
      </c>
      <c r="D843" s="316" t="str">
        <f>IF('Тонировочный инструмент'!G83="+","есть",IF('Тонировочный инструмент'!G83="-","нет",""))</f>
        <v>есть</v>
      </c>
      <c r="E843" s="317"/>
      <c r="F843" s="318">
        <f>IF(N('Тонировочный инструмент'!F83)&lt;=0,"по запросу",CHOOSE($K$4,IF(N('Тонировочный инструмент'!D83)&gt;0,N('Тонировочный инструмент'!D83),N('Тонировочный инструмент'!F83)),IF(N('Тонировочный инструмент'!E83)&gt;0,N('Тонировочный инструмент'!E83),N('Тонировочный инструмент'!F83)),N('Тонировочный инструмент'!F83)))</f>
        <v>646.4</v>
      </c>
      <c r="G843" s="319" t="str">
        <f>IF(I843&lt;=0,"",IF(ISNUMBER(F843),I843*F843,"по запросу"))</f>
        <v/>
      </c>
      <c r="H843" s="320">
        <f>N('Тонировочный инструмент'!H83)</f>
        <v>0</v>
      </c>
      <c r="I843" s="320">
        <f>IF(N(E843)&gt;0,N(E843),H843)</f>
        <v>0</v>
      </c>
      <c r="J843" s="320">
        <f>I843*IF(N('Тонировочный инструмент'!D83)&gt;0,N('Тонировочный инструмент'!D83),N('Тонировочный инструмент'!F83))</f>
        <v>0</v>
      </c>
      <c r="K843" s="320">
        <f>I843*IF(N('Тонировочный инструмент'!E83)&gt;0,N('Тонировочный инструмент'!E83),N('Тонировочный инструмент'!F83))</f>
        <v>0</v>
      </c>
      <c r="L843" s="320">
        <f>N(L842)+(N(I843)&gt;0)</f>
        <v>0</v>
      </c>
    </row>
    <row r="844">
      <c r="A844" s="321" t="inlineStr">
        <is>
          <t xml:space="preserve">Тонировочный инструмент</t>
        </is>
      </c>
      <c r="B844" s="314" t="str">
        <f>'Тонировочный инструмент'!A84&amp;""</f>
        <v>GT 2002</v>
      </c>
      <c r="C844" s="315" t="str">
        <f>'Тонировочный инструмент'!B84&amp;""</f>
        <v>Выгонка с магнитными вставками MAGNET, 10см</v>
      </c>
      <c r="D844" s="316" t="str">
        <f>IF('Тонировочный инструмент'!G84="+","есть",IF('Тонировочный инструмент'!G84="-","нет",""))</f>
        <v>есть</v>
      </c>
      <c r="E844" s="317"/>
      <c r="F844" s="318">
        <f>IF(N('Тонировочный инструмент'!F84)&lt;=0,"по запросу",CHOOSE($K$4,IF(N('Тонировочный инструмент'!D84)&gt;0,N('Тонировочный инструмент'!D84),N('Тонировочный инструмент'!F84)),IF(N('Тонировочный инструмент'!E84)&gt;0,N('Тонировочный инструмент'!E84),N('Тонировочный инструмент'!F84)),N('Тонировочный инструмент'!F84)))</f>
        <v>1592.3</v>
      </c>
      <c r="G844" s="319" t="str">
        <f>IF(I844&lt;=0,"",IF(ISNUMBER(F844),I844*F844,"по запросу"))</f>
        <v/>
      </c>
      <c r="H844" s="320">
        <f>N('Тонировочный инструмент'!H84)</f>
        <v>0</v>
      </c>
      <c r="I844" s="320">
        <f>IF(N(E844)&gt;0,N(E844),H844)</f>
        <v>0</v>
      </c>
      <c r="J844" s="320">
        <f>I844*IF(N('Тонировочный инструмент'!D84)&gt;0,N('Тонировочный инструмент'!D84),N('Тонировочный инструмент'!F84))</f>
        <v>0</v>
      </c>
      <c r="K844" s="320">
        <f>I844*IF(N('Тонировочный инструмент'!E84)&gt;0,N('Тонировочный инструмент'!E84),N('Тонировочный инструмент'!F84))</f>
        <v>0</v>
      </c>
      <c r="L844" s="320">
        <f>N(L843)+(N(I844)&gt;0)</f>
        <v>0</v>
      </c>
    </row>
    <row r="845">
      <c r="A845" s="321" t="inlineStr">
        <is>
          <t xml:space="preserve">Тонировочный инструмент</t>
        </is>
      </c>
      <c r="B845" s="314" t="str">
        <f>'Тонировочный инструмент'!A85&amp;""</f>
        <v>GT 2007</v>
      </c>
      <c r="C845" s="315" t="str">
        <f>'Тонировочный инструмент'!B85&amp;""</f>
        <v>Выгонка угловая с фетровой вставкой Mango, 15см</v>
      </c>
      <c r="D845" s="316" t="str">
        <f>IF('Тонировочный инструмент'!G85="+","есть",IF('Тонировочный инструмент'!G85="-","нет",""))</f>
        <v>есть</v>
      </c>
      <c r="E845" s="317"/>
      <c r="F845" s="318">
        <f>IF(N('Тонировочный инструмент'!F85)&lt;=0,"по запросу",CHOOSE($K$4,IF(N('Тонировочный инструмент'!D85)&gt;0,N('Тонировочный инструмент'!D85),N('Тонировочный инструмент'!F85)),IF(N('Тонировочный инструмент'!E85)&gt;0,N('Тонировочный инструмент'!E85),N('Тонировочный инструмент'!F85)),N('Тонировочный инструмент'!F85)))</f>
        <v>356.5</v>
      </c>
      <c r="G845" s="319" t="str">
        <f>IF(I845&lt;=0,"",IF(ISNUMBER(F845),I845*F845,"по запросу"))</f>
        <v/>
      </c>
      <c r="H845" s="320">
        <f>N('Тонировочный инструмент'!H85)</f>
        <v>0</v>
      </c>
      <c r="I845" s="320">
        <f>IF(N(E845)&gt;0,N(E845),H845)</f>
        <v>0</v>
      </c>
      <c r="J845" s="320">
        <f>I845*IF(N('Тонировочный инструмент'!D85)&gt;0,N('Тонировочный инструмент'!D85),N('Тонировочный инструмент'!F85))</f>
        <v>0</v>
      </c>
      <c r="K845" s="320">
        <f>I845*IF(N('Тонировочный инструмент'!E85)&gt;0,N('Тонировочный инструмент'!E85),N('Тонировочный инструмент'!F85))</f>
        <v>0</v>
      </c>
      <c r="L845" s="320">
        <f>N(L844)+(N(I845)&gt;0)</f>
        <v>0</v>
      </c>
    </row>
    <row r="846">
      <c r="A846" s="321" t="inlineStr">
        <is>
          <t xml:space="preserve">Тонировочный инструмент</t>
        </is>
      </c>
      <c r="B846" s="314" t="str">
        <f>'Тонировочный инструмент'!A86&amp;""</f>
        <v>GT 2104</v>
      </c>
      <c r="C846" s="315" t="str">
        <f>'Тонировочный инструмент'!B86&amp;""</f>
        <v>Выгонка PPF BLACKOUT </v>
      </c>
      <c r="D846" s="316" t="str">
        <f>IF('Тонировочный инструмент'!G86="+","есть",IF('Тонировочный инструмент'!G86="-","нет",""))</f>
        <v>есть</v>
      </c>
      <c r="E846" s="317"/>
      <c r="F846" s="318">
        <f>IF(N('Тонировочный инструмент'!F86)&lt;=0,"по запросу",CHOOSE($K$4,IF(N('Тонировочный инструмент'!D86)&gt;0,N('Тонировочный инструмент'!D86),N('Тонировочный инструмент'!F86)),IF(N('Тонировочный инструмент'!E86)&gt;0,N('Тонировочный инструмент'!E86),N('Тонировочный инструмент'!F86)),N('Тонировочный инструмент'!F86)))</f>
        <v>1787.2</v>
      </c>
      <c r="G846" s="319" t="str">
        <f>IF(I846&lt;=0,"",IF(ISNUMBER(F846),I846*F846,"по запросу"))</f>
        <v/>
      </c>
      <c r="H846" s="320">
        <f>N('Тонировочный инструмент'!H86)</f>
        <v>0</v>
      </c>
      <c r="I846" s="320">
        <f>IF(N(E846)&gt;0,N(E846),H846)</f>
        <v>0</v>
      </c>
      <c r="J846" s="320">
        <f>I846*IF(N('Тонировочный инструмент'!D86)&gt;0,N('Тонировочный инструмент'!D86),N('Тонировочный инструмент'!F86))</f>
        <v>0</v>
      </c>
      <c r="K846" s="320">
        <f>I846*IF(N('Тонировочный инструмент'!E86)&gt;0,N('Тонировочный инструмент'!E86),N('Тонировочный инструмент'!F86))</f>
        <v>0</v>
      </c>
      <c r="L846" s="320">
        <f>N(L845)+(N(I846)&gt;0)</f>
        <v>0</v>
      </c>
    </row>
    <row r="847">
      <c r="A847" s="321" t="inlineStr">
        <is>
          <t xml:space="preserve">Тонировочный инструмент</t>
        </is>
      </c>
      <c r="B847" s="314" t="str">
        <f>'Тонировочный инструмент'!A87&amp;""</f>
        <v>GT 2106</v>
      </c>
      <c r="C847" s="315" t="str">
        <f>'Тонировочный инструмент'!B87&amp;""</f>
        <v>Выгонка для PPF, HYBRID 4"</v>
      </c>
      <c r="D847" s="316" t="str">
        <f>IF('Тонировочный инструмент'!G87="+","есть",IF('Тонировочный инструмент'!G87="-","нет",""))</f>
        <v>есть</v>
      </c>
      <c r="E847" s="317"/>
      <c r="F847" s="318">
        <f>IF(N('Тонировочный инструмент'!F87)&lt;=0,"по запросу",CHOOSE($K$4,IF(N('Тонировочный инструмент'!D87)&gt;0,N('Тонировочный инструмент'!D87),N('Тонировочный инструмент'!F87)),IF(N('Тонировочный инструмент'!E87)&gt;0,N('Тонировочный инструмент'!E87),N('Тонировочный инструмент'!F87)),N('Тонировочный инструмент'!F87)))</f>
        <v>2458.9</v>
      </c>
      <c r="G847" s="319" t="str">
        <f>IF(I847&lt;=0,"",IF(ISNUMBER(F847),I847*F847,"по запросу"))</f>
        <v/>
      </c>
      <c r="H847" s="320">
        <f>N('Тонировочный инструмент'!H87)</f>
        <v>0</v>
      </c>
      <c r="I847" s="320">
        <f>IF(N(E847)&gt;0,N(E847),H847)</f>
        <v>0</v>
      </c>
      <c r="J847" s="320">
        <f>I847*IF(N('Тонировочный инструмент'!D87)&gt;0,N('Тонировочный инструмент'!D87),N('Тонировочный инструмент'!F87))</f>
        <v>0</v>
      </c>
      <c r="K847" s="320">
        <f>I847*IF(N('Тонировочный инструмент'!E87)&gt;0,N('Тонировочный инструмент'!E87),N('Тонировочный инструмент'!F87))</f>
        <v>0</v>
      </c>
      <c r="L847" s="320">
        <f>N(L846)+(N(I847)&gt;0)</f>
        <v>0</v>
      </c>
    </row>
    <row r="848" ht="20" customHeight="1">
      <c r="A848" s="321" t="inlineStr">
        <is>
          <t xml:space="preserve">Тонировочный инструмент</t>
        </is>
      </c>
      <c r="B848" s="312" t="inlineStr">
        <is>
          <t xml:space="preserve">Различные инструменты и приспособления</t>
        </is>
      </c>
      <c r="L848" s="320">
        <f>N(L847)+(N(I848)&gt;0)</f>
        <v>0</v>
      </c>
    </row>
    <row r="849">
      <c r="A849" s="321" t="inlineStr">
        <is>
          <t xml:space="preserve">Тонировочный инструмент</t>
        </is>
      </c>
      <c r="B849" s="314" t="str">
        <f>'Тонировочный инструмент'!A89&amp;""</f>
        <v>GT 068</v>
      </c>
      <c r="C849" s="315" t="str">
        <f>'Тонировочный инструмент'!B89&amp;""</f>
        <v>Точило для GT 079, 080, 087</v>
      </c>
      <c r="D849" s="316" t="str">
        <f>IF('Тонировочный инструмент'!G89="+","есть",IF('Тонировочный инструмент'!G89="-","нет",""))</f>
        <v>есть</v>
      </c>
      <c r="E849" s="317"/>
      <c r="F849" s="318">
        <f>IF(N('Тонировочный инструмент'!F89)&lt;=0,"по запросу",CHOOSE($K$4,IF(N('Тонировочный инструмент'!D89)&gt;0,N('Тонировочный инструмент'!D89),N('Тонировочный инструмент'!F89)),IF(N('Тонировочный инструмент'!E89)&gt;0,N('Тонировочный инструмент'!E89),N('Тонировочный инструмент'!F89)),N('Тонировочный инструмент'!F89)))</f>
        <v>1056.2</v>
      </c>
      <c r="G849" s="319" t="str">
        <f>IF(I849&lt;=0,"",IF(ISNUMBER(F849),I849*F849,"по запросу"))</f>
        <v/>
      </c>
      <c r="H849" s="320">
        <f>N('Тонировочный инструмент'!H89)</f>
        <v>0</v>
      </c>
      <c r="I849" s="320">
        <f>IF(N(E849)&gt;0,N(E849),H849)</f>
        <v>0</v>
      </c>
      <c r="J849" s="320">
        <f>I849*IF(N('Тонировочный инструмент'!D89)&gt;0,N('Тонировочный инструмент'!D89),N('Тонировочный инструмент'!F89))</f>
        <v>0</v>
      </c>
      <c r="K849" s="320">
        <f>I849*IF(N('Тонировочный инструмент'!E89)&gt;0,N('Тонировочный инструмент'!E89),N('Тонировочный инструмент'!F89))</f>
        <v>0</v>
      </c>
      <c r="L849" s="320">
        <f>N(L848)+(N(I849)&gt;0)</f>
        <v>0</v>
      </c>
    </row>
    <row r="850">
      <c r="A850" s="321" t="inlineStr">
        <is>
          <t xml:space="preserve">Тонировочный инструмент</t>
        </is>
      </c>
      <c r="B850" s="314" t="str">
        <f>'Тонировочный инструмент'!A90&amp;""</f>
        <v>GT 076</v>
      </c>
      <c r="C850" s="315" t="str">
        <f>'Тонировочный инструмент'!B90&amp;""</f>
        <v>Черный маскировочный маркер, тонкий</v>
      </c>
      <c r="D850" s="316" t="str">
        <f>IF('Тонировочный инструмент'!G90="+","есть",IF('Тонировочный инструмент'!G90="-","нет",""))</f>
        <v>есть</v>
      </c>
      <c r="E850" s="317"/>
      <c r="F850" s="318">
        <f>IF(N('Тонировочный инструмент'!F90)&lt;=0,"по запросу",CHOOSE($K$4,IF(N('Тонировочный инструмент'!D90)&gt;0,N('Тонировочный инструмент'!D90),N('Тонировочный инструмент'!F90)),IF(N('Тонировочный инструмент'!E90)&gt;0,N('Тонировочный инструмент'!E90),N('Тонировочный инструмент'!F90)),N('Тонировочный инструмент'!F90)))</f>
        <v>1092.3</v>
      </c>
      <c r="G850" s="319" t="str">
        <f>IF(I850&lt;=0,"",IF(ISNUMBER(F850),I850*F850,"по запросу"))</f>
        <v/>
      </c>
      <c r="H850" s="320">
        <f>N('Тонировочный инструмент'!H90)</f>
        <v>0</v>
      </c>
      <c r="I850" s="320">
        <f>IF(N(E850)&gt;0,N(E850),H850)</f>
        <v>0</v>
      </c>
      <c r="J850" s="320">
        <f>I850*IF(N('Тонировочный инструмент'!D90)&gt;0,N('Тонировочный инструмент'!D90),N('Тонировочный инструмент'!F90))</f>
        <v>0</v>
      </c>
      <c r="K850" s="320">
        <f>I850*IF(N('Тонировочный инструмент'!E90)&gt;0,N('Тонировочный инструмент'!E90),N('Тонировочный инструмент'!F90))</f>
        <v>0</v>
      </c>
      <c r="L850" s="320">
        <f>N(L849)+(N(I850)&gt;0)</f>
        <v>0</v>
      </c>
    </row>
    <row r="851">
      <c r="A851" s="321" t="inlineStr">
        <is>
          <t xml:space="preserve">Тонировочный инструмент</t>
        </is>
      </c>
      <c r="B851" s="314" t="str">
        <f>'Тонировочный инструмент'!A91&amp;""</f>
        <v>GT 096</v>
      </c>
      <c r="C851" s="315" t="str">
        <f>'Тонировочный инструмент'!B91&amp;""</f>
        <v>Распылитель автоматический, 1,25л Hozelock</v>
      </c>
      <c r="D851" s="316" t="str">
        <f>IF('Тонировочный инструмент'!G91="+","есть",IF('Тонировочный инструмент'!G91="-","нет",""))</f>
        <v>нет</v>
      </c>
      <c r="E851" s="317"/>
      <c r="F851" s="318" t="str">
        <f>IF(N('Тонировочный инструмент'!F91)&lt;=0,"по запросу",CHOOSE($K$4,IF(N('Тонировочный инструмент'!D91)&gt;0,N('Тонировочный инструмент'!D91),N('Тонировочный инструмент'!F91)),IF(N('Тонировочный инструмент'!E91)&gt;0,N('Тонировочный инструмент'!E91),N('Тонировочный инструмент'!F91)),N('Тонировочный инструмент'!F91)))</f>
        <v>по запросу</v>
      </c>
      <c r="G851" s="319" t="str">
        <f>IF(I851&lt;=0,"",IF(ISNUMBER(F851),I851*F851,"по запросу"))</f>
        <v/>
      </c>
      <c r="H851" s="320">
        <f>N('Тонировочный инструмент'!H91)</f>
        <v>0</v>
      </c>
      <c r="I851" s="320">
        <f>IF(N(E851)&gt;0,N(E851),H851)</f>
        <v>0</v>
      </c>
      <c r="J851" s="320">
        <f>I851*IF(N('Тонировочный инструмент'!D91)&gt;0,N('Тонировочный инструмент'!D91),N('Тонировочный инструмент'!F91))</f>
        <v>0</v>
      </c>
      <c r="K851" s="320">
        <f>I851*IF(N('Тонировочный инструмент'!E91)&gt;0,N('Тонировочный инструмент'!E91),N('Тонировочный инструмент'!F91))</f>
        <v>0</v>
      </c>
      <c r="L851" s="320">
        <f>N(L850)+(N(I851)&gt;0)</f>
        <v>0</v>
      </c>
    </row>
    <row r="852">
      <c r="A852" s="321" t="inlineStr">
        <is>
          <t xml:space="preserve">Тонировочный инструмент</t>
        </is>
      </c>
      <c r="B852" s="314" t="str">
        <f>'Тонировочный инструмент'!A92&amp;""</f>
        <v>GT 132</v>
      </c>
      <c r="C852" s="315" t="str">
        <f>'Тонировочный инструмент'!B92&amp;""</f>
        <v>Крюк для извлечения дверного уплотнителя</v>
      </c>
      <c r="D852" s="316" t="str">
        <f>IF('Тонировочный инструмент'!G92="+","есть",IF('Тонировочный инструмент'!G92="-","нет",""))</f>
        <v>нет</v>
      </c>
      <c r="E852" s="317"/>
      <c r="F852" s="318" t="str">
        <f>IF(N('Тонировочный инструмент'!F92)&lt;=0,"по запросу",CHOOSE($K$4,IF(N('Тонировочный инструмент'!D92)&gt;0,N('Тонировочный инструмент'!D92),N('Тонировочный инструмент'!F92)),IF(N('Тонировочный инструмент'!E92)&gt;0,N('Тонировочный инструмент'!E92),N('Тонировочный инструмент'!F92)),N('Тонировочный инструмент'!F92)))</f>
        <v>по запросу</v>
      </c>
      <c r="G852" s="319" t="str">
        <f>IF(I852&lt;=0,"",IF(ISNUMBER(F852),I852*F852,"по запросу"))</f>
        <v/>
      </c>
      <c r="H852" s="320">
        <f>N('Тонировочный инструмент'!H92)</f>
        <v>0</v>
      </c>
      <c r="I852" s="320">
        <f>IF(N(E852)&gt;0,N(E852),H852)</f>
        <v>0</v>
      </c>
      <c r="J852" s="320">
        <f>I852*IF(N('Тонировочный инструмент'!D92)&gt;0,N('Тонировочный инструмент'!D92),N('Тонировочный инструмент'!F92))</f>
        <v>0</v>
      </c>
      <c r="K852" s="320">
        <f>I852*IF(N('Тонировочный инструмент'!E92)&gt;0,N('Тонировочный инструмент'!E92),N('Тонировочный инструмент'!F92))</f>
        <v>0</v>
      </c>
      <c r="L852" s="320">
        <f>N(L851)+(N(I852)&gt;0)</f>
        <v>0</v>
      </c>
    </row>
    <row r="853">
      <c r="A853" s="321" t="inlineStr">
        <is>
          <t xml:space="preserve">Тонировочный инструмент</t>
        </is>
      </c>
      <c r="B853" s="314" t="str">
        <f>'Тонировочный инструмент'!A93&amp;""</f>
        <v>GT 157</v>
      </c>
      <c r="C853" s="315" t="str">
        <f>'Тонировочный инструмент'!B93&amp;""</f>
        <v>Маскировочная лента (черная), ширина 1,25 см, длина 45м</v>
      </c>
      <c r="D853" s="316" t="str">
        <f>IF('Тонировочный инструмент'!G93="+","есть",IF('Тонировочный инструмент'!G93="-","нет",""))</f>
        <v>есть</v>
      </c>
      <c r="E853" s="317"/>
      <c r="F853" s="318">
        <f>IF(N('Тонировочный инструмент'!F93)&lt;=0,"по запросу",CHOOSE($K$4,IF(N('Тонировочный инструмент'!D93)&gt;0,N('Тонировочный инструмент'!D93),N('Тонировочный инструмент'!F93)),IF(N('Тонировочный инструмент'!E93)&gt;0,N('Тонировочный инструмент'!E93),N('Тонировочный инструмент'!F93)),N('Тонировочный инструмент'!F93)))</f>
        <v>571.5</v>
      </c>
      <c r="G853" s="319" t="str">
        <f>IF(I853&lt;=0,"",IF(ISNUMBER(F853),I853*F853,"по запросу"))</f>
        <v/>
      </c>
      <c r="H853" s="320">
        <f>N('Тонировочный инструмент'!H93)</f>
        <v>0</v>
      </c>
      <c r="I853" s="320">
        <f>IF(N(E853)&gt;0,N(E853),H853)</f>
        <v>0</v>
      </c>
      <c r="J853" s="320">
        <f>I853*IF(N('Тонировочный инструмент'!D93)&gt;0,N('Тонировочный инструмент'!D93),N('Тонировочный инструмент'!F93))</f>
        <v>0</v>
      </c>
      <c r="K853" s="320">
        <f>I853*IF(N('Тонировочный инструмент'!E93)&gt;0,N('Тонировочный инструмент'!E93),N('Тонировочный инструмент'!F93))</f>
        <v>0</v>
      </c>
      <c r="L853" s="320">
        <f>N(L852)+(N(I853)&gt;0)</f>
        <v>0</v>
      </c>
    </row>
    <row r="854">
      <c r="A854" s="321" t="inlineStr">
        <is>
          <t xml:space="preserve">Тонировочный инструмент</t>
        </is>
      </c>
      <c r="B854" s="314" t="str">
        <f>'Тонировочный инструмент'!A94&amp;""</f>
        <v>GT 158</v>
      </c>
      <c r="C854" s="315" t="str">
        <f>'Тонировочный инструмент'!B94&amp;""</f>
        <v>Маскировочная лента (черная), ширина 2,5 см, длина  45м</v>
      </c>
      <c r="D854" s="316" t="str">
        <f>IF('Тонировочный инструмент'!G94="+","есть",IF('Тонировочный инструмент'!G94="-","нет",""))</f>
        <v>есть</v>
      </c>
      <c r="E854" s="317"/>
      <c r="F854" s="318">
        <f>IF(N('Тонировочный инструмент'!F94)&lt;=0,"по запросу",CHOOSE($K$4,IF(N('Тонировочный инструмент'!D94)&gt;0,N('Тонировочный инструмент'!D94),N('Тонировочный инструмент'!F94)),IF(N('Тонировочный инструмент'!E94)&gt;0,N('Тонировочный инструмент'!E94),N('Тонировочный инструмент'!F94)),N('Тонировочный инструмент'!F94)))</f>
        <v>2246.1</v>
      </c>
      <c r="G854" s="319" t="str">
        <f>IF(I854&lt;=0,"",IF(ISNUMBER(F854),I854*F854,"по запросу"))</f>
        <v/>
      </c>
      <c r="H854" s="320">
        <f>N('Тонировочный инструмент'!H94)</f>
        <v>0</v>
      </c>
      <c r="I854" s="320">
        <f>IF(N(E854)&gt;0,N(E854),H854)</f>
        <v>0</v>
      </c>
      <c r="J854" s="320">
        <f>I854*IF(N('Тонировочный инструмент'!D94)&gt;0,N('Тонировочный инструмент'!D94),N('Тонировочный инструмент'!F94))</f>
        <v>0</v>
      </c>
      <c r="K854" s="320">
        <f>I854*IF(N('Тонировочный инструмент'!E94)&gt;0,N('Тонировочный инструмент'!E94),N('Тонировочный инструмент'!F94))</f>
        <v>0</v>
      </c>
      <c r="L854" s="320">
        <f>N(L853)+(N(I854)&gt;0)</f>
        <v>0</v>
      </c>
    </row>
    <row r="855">
      <c r="A855" s="321" t="inlineStr">
        <is>
          <t xml:space="preserve">Тонировочный инструмент</t>
        </is>
      </c>
      <c r="B855" s="314" t="str">
        <f>'Тонировочный инструмент'!A95&amp;""</f>
        <v>GT 162P</v>
      </c>
      <c r="C855" s="315" t="str">
        <f>'Тонировочный инструмент'!B95&amp;""</f>
        <v>Концентрат для снятия клея со стекла, 3,8л</v>
      </c>
      <c r="D855" s="316" t="str">
        <f>IF('Тонировочный инструмент'!G95="+","есть",IF('Тонировочный инструмент'!G95="-","нет",""))</f>
        <v>есть</v>
      </c>
      <c r="E855" s="317"/>
      <c r="F855" s="318">
        <f>IF(N('Тонировочный инструмент'!F95)&lt;=0,"по запросу",CHOOSE($K$4,IF(N('Тонировочный инструмент'!D95)&gt;0,N('Тонировочный инструмент'!D95),N('Тонировочный инструмент'!F95)),IF(N('Тонировочный инструмент'!E95)&gt;0,N('Тонировочный инструмент'!E95),N('Тонировочный инструмент'!F95)),N('Тонировочный инструмент'!F95)))</f>
        <v>1710.4</v>
      </c>
      <c r="G855" s="319" t="str">
        <f>IF(I855&lt;=0,"",IF(ISNUMBER(F855),I855*F855,"по запросу"))</f>
        <v/>
      </c>
      <c r="H855" s="320">
        <f>N('Тонировочный инструмент'!H95)</f>
        <v>0</v>
      </c>
      <c r="I855" s="320">
        <f>IF(N(E855)&gt;0,N(E855),H855)</f>
        <v>0</v>
      </c>
      <c r="J855" s="320">
        <f>I855*IF(N('Тонировочный инструмент'!D95)&gt;0,N('Тонировочный инструмент'!D95),N('Тонировочный инструмент'!F95))</f>
        <v>0</v>
      </c>
      <c r="K855" s="320">
        <f>I855*IF(N('Тонировочный инструмент'!E95)&gt;0,N('Тонировочный инструмент'!E95),N('Тонировочный инструмент'!F95))</f>
        <v>0</v>
      </c>
      <c r="L855" s="320">
        <f>N(L854)+(N(I855)&gt;0)</f>
        <v>0</v>
      </c>
    </row>
    <row r="856">
      <c r="A856" s="321" t="inlineStr">
        <is>
          <t xml:space="preserve">Тонировочный инструмент</t>
        </is>
      </c>
      <c r="B856" s="314" t="str">
        <f>'Тонировочный инструмент'!A96&amp;""</f>
        <v>GT 190</v>
      </c>
      <c r="C856" s="315" t="str">
        <f>'Тонировочный инструмент'!B96&amp;""</f>
        <v>Лекало для точной нарезки углов</v>
      </c>
      <c r="D856" s="316" t="str">
        <f>IF('Тонировочный инструмент'!G96="+","есть",IF('Тонировочный инструмент'!G96="-","нет",""))</f>
        <v>есть</v>
      </c>
      <c r="E856" s="317"/>
      <c r="F856" s="318">
        <f>IF(N('Тонировочный инструмент'!F96)&lt;=0,"по запросу",CHOOSE($K$4,IF(N('Тонировочный инструмент'!D96)&gt;0,N('Тонировочный инструмент'!D96),N('Тонировочный инструмент'!F96)),IF(N('Тонировочный инструмент'!E96)&gt;0,N('Тонировочный инструмент'!E96),N('Тонировочный инструмент'!F96)),N('Тонировочный инструмент'!F96)))</f>
        <v>566.3</v>
      </c>
      <c r="G856" s="319" t="str">
        <f>IF(I856&lt;=0,"",IF(ISNUMBER(F856),I856*F856,"по запросу"))</f>
        <v/>
      </c>
      <c r="H856" s="320">
        <f>N('Тонировочный инструмент'!H96)</f>
        <v>0</v>
      </c>
      <c r="I856" s="320">
        <f>IF(N(E856)&gt;0,N(E856),H856)</f>
        <v>0</v>
      </c>
      <c r="J856" s="320">
        <f>I856*IF(N('Тонировочный инструмент'!D96)&gt;0,N('Тонировочный инструмент'!D96),N('Тонировочный инструмент'!F96))</f>
        <v>0</v>
      </c>
      <c r="K856" s="320">
        <f>I856*IF(N('Тонировочный инструмент'!E96)&gt;0,N('Тонировочный инструмент'!E96),N('Тонировочный инструмент'!F96))</f>
        <v>0</v>
      </c>
      <c r="L856" s="320">
        <f>N(L855)+(N(I856)&gt;0)</f>
        <v>0</v>
      </c>
    </row>
    <row r="857">
      <c r="A857" s="321" t="inlineStr">
        <is>
          <t xml:space="preserve">Тонировочный инструмент</t>
        </is>
      </c>
      <c r="B857" s="314" t="str">
        <f>'Тонировочный инструмент'!A97&amp;""</f>
        <v>GT 194</v>
      </c>
      <c r="C857" s="315" t="str">
        <f>'Тонировочный инструмент'!B97&amp;""</f>
        <v>Нейлоновый уплотнитель для фиксации оконных уплотнителей</v>
      </c>
      <c r="D857" s="316" t="str">
        <f>IF('Тонировочный инструмент'!G97="+","есть",IF('Тонировочный инструмент'!G97="-","нет",""))</f>
        <v>есть</v>
      </c>
      <c r="E857" s="317"/>
      <c r="F857" s="318">
        <f>IF(N('Тонировочный инструмент'!F97)&lt;=0,"по запросу",CHOOSE($K$4,IF(N('Тонировочный инструмент'!D97)&gt;0,N('Тонировочный инструмент'!D97),N('Тонировочный инструмент'!F97)),IF(N('Тонировочный инструмент'!E97)&gt;0,N('Тонировочный инструмент'!E97),N('Тонировочный инструмент'!F97)),N('Тонировочный инструмент'!F97)))</f>
        <v>245.1</v>
      </c>
      <c r="G857" s="319" t="str">
        <f>IF(I857&lt;=0,"",IF(ISNUMBER(F857),I857*F857,"по запросу"))</f>
        <v/>
      </c>
      <c r="H857" s="320">
        <f>N('Тонировочный инструмент'!H97)</f>
        <v>0</v>
      </c>
      <c r="I857" s="320">
        <f>IF(N(E857)&gt;0,N(E857),H857)</f>
        <v>0</v>
      </c>
      <c r="J857" s="320">
        <f>I857*IF(N('Тонировочный инструмент'!D97)&gt;0,N('Тонировочный инструмент'!D97),N('Тонировочный инструмент'!F97))</f>
        <v>0</v>
      </c>
      <c r="K857" s="320">
        <f>I857*IF(N('Тонировочный инструмент'!E97)&gt;0,N('Тонировочный инструмент'!E97),N('Тонировочный инструмент'!F97))</f>
        <v>0</v>
      </c>
      <c r="L857" s="320">
        <f>N(L856)+(N(I857)&gt;0)</f>
        <v>0</v>
      </c>
    </row>
    <row r="858">
      <c r="A858" s="321" t="inlineStr">
        <is>
          <t xml:space="preserve">Тонировочный инструмент</t>
        </is>
      </c>
      <c r="B858" s="314" t="str">
        <f>'Тонировочный инструмент'!A98&amp;""</f>
        <v>GT 735</v>
      </c>
      <c r="C858" s="315" t="str">
        <f>'Тонировочный инструмент'!B98&amp;""</f>
        <v>"Film On" - жидкость для установки пленок с PS-адгезией, 1л</v>
      </c>
      <c r="D858" s="316" t="str">
        <f>IF('Тонировочный инструмент'!G98="+","есть",IF('Тонировочный инструмент'!G98="-","нет",""))</f>
        <v>есть</v>
      </c>
      <c r="E858" s="317"/>
      <c r="F858" s="318">
        <f>IF(N('Тонировочный инструмент'!F98)&lt;=0,"по запросу",CHOOSE($K$4,IF(N('Тонировочный инструмент'!D98)&gt;0,N('Тонировочный инструмент'!D98),N('Тонировочный инструмент'!F98)),IF(N('Тонировочный инструмент'!E98)&gt;0,N('Тонировочный инструмент'!E98),N('Тонировочный инструмент'!F98)),N('Тонировочный инструмент'!F98)))</f>
        <v>2315.1</v>
      </c>
      <c r="G858" s="319" t="str">
        <f>IF(I858&lt;=0,"",IF(ISNUMBER(F858),I858*F858,"по запросу"))</f>
        <v/>
      </c>
      <c r="H858" s="320">
        <f>N('Тонировочный инструмент'!H98)</f>
        <v>0</v>
      </c>
      <c r="I858" s="320">
        <f>IF(N(E858)&gt;0,N(E858),H858)</f>
        <v>0</v>
      </c>
      <c r="J858" s="320">
        <f>I858*IF(N('Тонировочный инструмент'!D98)&gt;0,N('Тонировочный инструмент'!D98),N('Тонировочный инструмент'!F98))</f>
        <v>0</v>
      </c>
      <c r="K858" s="320">
        <f>I858*IF(N('Тонировочный инструмент'!E98)&gt;0,N('Тонировочный инструмент'!E98),N('Тонировочный инструмент'!F98))</f>
        <v>0</v>
      </c>
      <c r="L858" s="320">
        <f>N(L857)+(N(I858)&gt;0)</f>
        <v>0</v>
      </c>
    </row>
    <row r="859" ht="14" customHeight="1"/>
    <row r="860" ht="26" customHeight="1">
      <c r="A860" s="322" t="inlineStr">
        <is>
          <t xml:space="preserve">ВАША ЗАЯВКА</t>
        </is>
      </c>
      <c r="B860" s="322" t="str">
        <f>IF($L$5&gt;0,$L$5&amp;" поз.","пока пусто: впишите количество в жёлтые ячейки выше")</f>
        <v>пока пусто: впишите количество в жёлтые ячейки выше</v>
      </c>
      <c r="C860" s="322"/>
      <c r="D860" s="322"/>
      <c r="E860" s="322"/>
      <c r="F860" s="322"/>
      <c r="G860" s="323">
        <f>G5</f>
        <v>0</v>
      </c>
    </row>
    <row r="861">
      <c r="A861" s="321" t="str">
        <f>IF(H861="","","ВАША ЗАЯВКА")</f>
        <v/>
      </c>
      <c r="B861" s="324" t="str">
        <f>IF(H861="","","1. "&amp;INDEX($B$8:$B$858,H861))</f>
        <v/>
      </c>
      <c r="C861" s="325" t="str">
        <f>IF(H861="","",INDEX($C$8:$C$858,H861))</f>
        <v/>
      </c>
      <c r="D861" s="327" t="str">
        <f>IF(H861="","",INDEX($D$8:$D$858,H861))</f>
        <v/>
      </c>
      <c r="E861" s="326" t="str">
        <f>IF(H861="","",INDEX($I$8:$I$858,H861))</f>
        <v/>
      </c>
      <c r="F861" s="328" t="str">
        <f>IF(H861="","",INDEX($F$8:$F$858,H861))</f>
        <v/>
      </c>
      <c r="G861" s="329" t="str">
        <f>IF(H861="","",INDEX($G$8:$G$858,H861))</f>
        <v/>
      </c>
      <c r="H861" s="320" t="str">
        <f>IFERROR(MATCH(1,$L$8:$L$858,0),"")</f>
        <v/>
      </c>
    </row>
    <row r="862">
      <c r="A862" s="321" t="str">
        <f>IF(H862="","","ВАША ЗАЯВКА")</f>
        <v/>
      </c>
      <c r="B862" s="324" t="str">
        <f>IF(H862="","","2. "&amp;INDEX($B$8:$B$858,H862))</f>
        <v/>
      </c>
      <c r="C862" s="325" t="str">
        <f>IF(H862="","",INDEX($C$8:$C$858,H862))</f>
        <v/>
      </c>
      <c r="D862" s="327" t="str">
        <f>IF(H862="","",INDEX($D$8:$D$858,H862))</f>
        <v/>
      </c>
      <c r="E862" s="326" t="str">
        <f>IF(H862="","",INDEX($I$8:$I$858,H862))</f>
        <v/>
      </c>
      <c r="F862" s="328" t="str">
        <f>IF(H862="","",INDEX($F$8:$F$858,H862))</f>
        <v/>
      </c>
      <c r="G862" s="329" t="str">
        <f>IF(H862="","",INDEX($G$8:$G$858,H862))</f>
        <v/>
      </c>
      <c r="H862" s="320" t="str">
        <f>IFERROR(MATCH(2,$L$8:$L$858,0),"")</f>
        <v/>
      </c>
    </row>
    <row r="863">
      <c r="A863" s="321" t="str">
        <f>IF(H863="","","ВАША ЗАЯВКА")</f>
        <v/>
      </c>
      <c r="B863" s="324" t="str">
        <f>IF(H863="","","3. "&amp;INDEX($B$8:$B$858,H863))</f>
        <v/>
      </c>
      <c r="C863" s="325" t="str">
        <f>IF(H863="","",INDEX($C$8:$C$858,H863))</f>
        <v/>
      </c>
      <c r="D863" s="327" t="str">
        <f>IF(H863="","",INDEX($D$8:$D$858,H863))</f>
        <v/>
      </c>
      <c r="E863" s="326" t="str">
        <f>IF(H863="","",INDEX($I$8:$I$858,H863))</f>
        <v/>
      </c>
      <c r="F863" s="328" t="str">
        <f>IF(H863="","",INDEX($F$8:$F$858,H863))</f>
        <v/>
      </c>
      <c r="G863" s="329" t="str">
        <f>IF(H863="","",INDEX($G$8:$G$858,H863))</f>
        <v/>
      </c>
      <c r="H863" s="320" t="str">
        <f>IFERROR(MATCH(3,$L$8:$L$858,0),"")</f>
        <v/>
      </c>
    </row>
    <row r="864">
      <c r="A864" s="321" t="str">
        <f>IF(H864="","","ВАША ЗАЯВКА")</f>
        <v/>
      </c>
      <c r="B864" s="324" t="str">
        <f>IF(H864="","","4. "&amp;INDEX($B$8:$B$858,H864))</f>
        <v/>
      </c>
      <c r="C864" s="325" t="str">
        <f>IF(H864="","",INDEX($C$8:$C$858,H864))</f>
        <v/>
      </c>
      <c r="D864" s="327" t="str">
        <f>IF(H864="","",INDEX($D$8:$D$858,H864))</f>
        <v/>
      </c>
      <c r="E864" s="326" t="str">
        <f>IF(H864="","",INDEX($I$8:$I$858,H864))</f>
        <v/>
      </c>
      <c r="F864" s="328" t="str">
        <f>IF(H864="","",INDEX($F$8:$F$858,H864))</f>
        <v/>
      </c>
      <c r="G864" s="329" t="str">
        <f>IF(H864="","",INDEX($G$8:$G$858,H864))</f>
        <v/>
      </c>
      <c r="H864" s="320" t="str">
        <f>IFERROR(MATCH(4,$L$8:$L$858,0),"")</f>
        <v/>
      </c>
    </row>
    <row r="865">
      <c r="A865" s="321" t="str">
        <f>IF(H865="","","ВАША ЗАЯВКА")</f>
        <v/>
      </c>
      <c r="B865" s="324" t="str">
        <f>IF(H865="","","5. "&amp;INDEX($B$8:$B$858,H865))</f>
        <v/>
      </c>
      <c r="C865" s="325" t="str">
        <f>IF(H865="","",INDEX($C$8:$C$858,H865))</f>
        <v/>
      </c>
      <c r="D865" s="327" t="str">
        <f>IF(H865="","",INDEX($D$8:$D$858,H865))</f>
        <v/>
      </c>
      <c r="E865" s="326" t="str">
        <f>IF(H865="","",INDEX($I$8:$I$858,H865))</f>
        <v/>
      </c>
      <c r="F865" s="328" t="str">
        <f>IF(H865="","",INDEX($F$8:$F$858,H865))</f>
        <v/>
      </c>
      <c r="G865" s="329" t="str">
        <f>IF(H865="","",INDEX($G$8:$G$858,H865))</f>
        <v/>
      </c>
      <c r="H865" s="320" t="str">
        <f>IFERROR(MATCH(5,$L$8:$L$858,0),"")</f>
        <v/>
      </c>
    </row>
    <row r="866">
      <c r="A866" s="321" t="str">
        <f>IF(H866="","","ВАША ЗАЯВКА")</f>
        <v/>
      </c>
      <c r="B866" s="324" t="str">
        <f>IF(H866="","","6. "&amp;INDEX($B$8:$B$858,H866))</f>
        <v/>
      </c>
      <c r="C866" s="325" t="str">
        <f>IF(H866="","",INDEX($C$8:$C$858,H866))</f>
        <v/>
      </c>
      <c r="D866" s="327" t="str">
        <f>IF(H866="","",INDEX($D$8:$D$858,H866))</f>
        <v/>
      </c>
      <c r="E866" s="326" t="str">
        <f>IF(H866="","",INDEX($I$8:$I$858,H866))</f>
        <v/>
      </c>
      <c r="F866" s="328" t="str">
        <f>IF(H866="","",INDEX($F$8:$F$858,H866))</f>
        <v/>
      </c>
      <c r="G866" s="329" t="str">
        <f>IF(H866="","",INDEX($G$8:$G$858,H866))</f>
        <v/>
      </c>
      <c r="H866" s="320" t="str">
        <f>IFERROR(MATCH(6,$L$8:$L$858,0),"")</f>
        <v/>
      </c>
    </row>
    <row r="867">
      <c r="A867" s="321" t="str">
        <f>IF(H867="","","ВАША ЗАЯВКА")</f>
        <v/>
      </c>
      <c r="B867" s="324" t="str">
        <f>IF(H867="","","7. "&amp;INDEX($B$8:$B$858,H867))</f>
        <v/>
      </c>
      <c r="C867" s="325" t="str">
        <f>IF(H867="","",INDEX($C$8:$C$858,H867))</f>
        <v/>
      </c>
      <c r="D867" s="327" t="str">
        <f>IF(H867="","",INDEX($D$8:$D$858,H867))</f>
        <v/>
      </c>
      <c r="E867" s="326" t="str">
        <f>IF(H867="","",INDEX($I$8:$I$858,H867))</f>
        <v/>
      </c>
      <c r="F867" s="328" t="str">
        <f>IF(H867="","",INDEX($F$8:$F$858,H867))</f>
        <v/>
      </c>
      <c r="G867" s="329" t="str">
        <f>IF(H867="","",INDEX($G$8:$G$858,H867))</f>
        <v/>
      </c>
      <c r="H867" s="320" t="str">
        <f>IFERROR(MATCH(7,$L$8:$L$858,0),"")</f>
        <v/>
      </c>
    </row>
    <row r="868">
      <c r="A868" s="321" t="str">
        <f>IF(H868="","","ВАША ЗАЯВКА")</f>
        <v/>
      </c>
      <c r="B868" s="324" t="str">
        <f>IF(H868="","","8. "&amp;INDEX($B$8:$B$858,H868))</f>
        <v/>
      </c>
      <c r="C868" s="325" t="str">
        <f>IF(H868="","",INDEX($C$8:$C$858,H868))</f>
        <v/>
      </c>
      <c r="D868" s="327" t="str">
        <f>IF(H868="","",INDEX($D$8:$D$858,H868))</f>
        <v/>
      </c>
      <c r="E868" s="326" t="str">
        <f>IF(H868="","",INDEX($I$8:$I$858,H868))</f>
        <v/>
      </c>
      <c r="F868" s="328" t="str">
        <f>IF(H868="","",INDEX($F$8:$F$858,H868))</f>
        <v/>
      </c>
      <c r="G868" s="329" t="str">
        <f>IF(H868="","",INDEX($G$8:$G$858,H868))</f>
        <v/>
      </c>
      <c r="H868" s="320" t="str">
        <f>IFERROR(MATCH(8,$L$8:$L$858,0),"")</f>
        <v/>
      </c>
    </row>
    <row r="869">
      <c r="A869" s="321" t="str">
        <f>IF(H869="","","ВАША ЗАЯВКА")</f>
        <v/>
      </c>
      <c r="B869" s="324" t="str">
        <f>IF(H869="","","9. "&amp;INDEX($B$8:$B$858,H869))</f>
        <v/>
      </c>
      <c r="C869" s="325" t="str">
        <f>IF(H869="","",INDEX($C$8:$C$858,H869))</f>
        <v/>
      </c>
      <c r="D869" s="327" t="str">
        <f>IF(H869="","",INDEX($D$8:$D$858,H869))</f>
        <v/>
      </c>
      <c r="E869" s="326" t="str">
        <f>IF(H869="","",INDEX($I$8:$I$858,H869))</f>
        <v/>
      </c>
      <c r="F869" s="328" t="str">
        <f>IF(H869="","",INDEX($F$8:$F$858,H869))</f>
        <v/>
      </c>
      <c r="G869" s="329" t="str">
        <f>IF(H869="","",INDEX($G$8:$G$858,H869))</f>
        <v/>
      </c>
      <c r="H869" s="320" t="str">
        <f>IFERROR(MATCH(9,$L$8:$L$858,0),"")</f>
        <v/>
      </c>
    </row>
    <row r="870">
      <c r="A870" s="321" t="str">
        <f>IF(H870="","","ВАША ЗАЯВКА")</f>
        <v/>
      </c>
      <c r="B870" s="324" t="str">
        <f>IF(H870="","","10. "&amp;INDEX($B$8:$B$858,H870))</f>
        <v/>
      </c>
      <c r="C870" s="325" t="str">
        <f>IF(H870="","",INDEX($C$8:$C$858,H870))</f>
        <v/>
      </c>
      <c r="D870" s="327" t="str">
        <f>IF(H870="","",INDEX($D$8:$D$858,H870))</f>
        <v/>
      </c>
      <c r="E870" s="326" t="str">
        <f>IF(H870="","",INDEX($I$8:$I$858,H870))</f>
        <v/>
      </c>
      <c r="F870" s="328" t="str">
        <f>IF(H870="","",INDEX($F$8:$F$858,H870))</f>
        <v/>
      </c>
      <c r="G870" s="329" t="str">
        <f>IF(H870="","",INDEX($G$8:$G$858,H870))</f>
        <v/>
      </c>
      <c r="H870" s="320" t="str">
        <f>IFERROR(MATCH(10,$L$8:$L$858,0),"")</f>
        <v/>
      </c>
    </row>
    <row r="871">
      <c r="A871" s="321" t="str">
        <f>IF(H871="","","ВАША ЗАЯВКА")</f>
        <v/>
      </c>
      <c r="B871" s="324" t="str">
        <f>IF(H871="","","11. "&amp;INDEX($B$8:$B$858,H871))</f>
        <v/>
      </c>
      <c r="C871" s="325" t="str">
        <f>IF(H871="","",INDEX($C$8:$C$858,H871))</f>
        <v/>
      </c>
      <c r="D871" s="327" t="str">
        <f>IF(H871="","",INDEX($D$8:$D$858,H871))</f>
        <v/>
      </c>
      <c r="E871" s="326" t="str">
        <f>IF(H871="","",INDEX($I$8:$I$858,H871))</f>
        <v/>
      </c>
      <c r="F871" s="328" t="str">
        <f>IF(H871="","",INDEX($F$8:$F$858,H871))</f>
        <v/>
      </c>
      <c r="G871" s="329" t="str">
        <f>IF(H871="","",INDEX($G$8:$G$858,H871))</f>
        <v/>
      </c>
      <c r="H871" s="320" t="str">
        <f>IFERROR(MATCH(11,$L$8:$L$858,0),"")</f>
        <v/>
      </c>
    </row>
    <row r="872">
      <c r="A872" s="321" t="str">
        <f>IF(H872="","","ВАША ЗАЯВКА")</f>
        <v/>
      </c>
      <c r="B872" s="324" t="str">
        <f>IF(H872="","","12. "&amp;INDEX($B$8:$B$858,H872))</f>
        <v/>
      </c>
      <c r="C872" s="325" t="str">
        <f>IF(H872="","",INDEX($C$8:$C$858,H872))</f>
        <v/>
      </c>
      <c r="D872" s="327" t="str">
        <f>IF(H872="","",INDEX($D$8:$D$858,H872))</f>
        <v/>
      </c>
      <c r="E872" s="326" t="str">
        <f>IF(H872="","",INDEX($I$8:$I$858,H872))</f>
        <v/>
      </c>
      <c r="F872" s="328" t="str">
        <f>IF(H872="","",INDEX($F$8:$F$858,H872))</f>
        <v/>
      </c>
      <c r="G872" s="329" t="str">
        <f>IF(H872="","",INDEX($G$8:$G$858,H872))</f>
        <v/>
      </c>
      <c r="H872" s="320" t="str">
        <f>IFERROR(MATCH(12,$L$8:$L$858,0),"")</f>
        <v/>
      </c>
    </row>
    <row r="873">
      <c r="A873" s="321" t="str">
        <f>IF(H873="","","ВАША ЗАЯВКА")</f>
        <v/>
      </c>
      <c r="B873" s="324" t="str">
        <f>IF(H873="","","13. "&amp;INDEX($B$8:$B$858,H873))</f>
        <v/>
      </c>
      <c r="C873" s="325" t="str">
        <f>IF(H873="","",INDEX($C$8:$C$858,H873))</f>
        <v/>
      </c>
      <c r="D873" s="327" t="str">
        <f>IF(H873="","",INDEX($D$8:$D$858,H873))</f>
        <v/>
      </c>
      <c r="E873" s="326" t="str">
        <f>IF(H873="","",INDEX($I$8:$I$858,H873))</f>
        <v/>
      </c>
      <c r="F873" s="328" t="str">
        <f>IF(H873="","",INDEX($F$8:$F$858,H873))</f>
        <v/>
      </c>
      <c r="G873" s="329" t="str">
        <f>IF(H873="","",INDEX($G$8:$G$858,H873))</f>
        <v/>
      </c>
      <c r="H873" s="320" t="str">
        <f>IFERROR(MATCH(13,$L$8:$L$858,0),"")</f>
        <v/>
      </c>
    </row>
    <row r="874">
      <c r="A874" s="321" t="str">
        <f>IF(H874="","","ВАША ЗАЯВКА")</f>
        <v/>
      </c>
      <c r="B874" s="324" t="str">
        <f>IF(H874="","","14. "&amp;INDEX($B$8:$B$858,H874))</f>
        <v/>
      </c>
      <c r="C874" s="325" t="str">
        <f>IF(H874="","",INDEX($C$8:$C$858,H874))</f>
        <v/>
      </c>
      <c r="D874" s="327" t="str">
        <f>IF(H874="","",INDEX($D$8:$D$858,H874))</f>
        <v/>
      </c>
      <c r="E874" s="326" t="str">
        <f>IF(H874="","",INDEX($I$8:$I$858,H874))</f>
        <v/>
      </c>
      <c r="F874" s="328" t="str">
        <f>IF(H874="","",INDEX($F$8:$F$858,H874))</f>
        <v/>
      </c>
      <c r="G874" s="329" t="str">
        <f>IF(H874="","",INDEX($G$8:$G$858,H874))</f>
        <v/>
      </c>
      <c r="H874" s="320" t="str">
        <f>IFERROR(MATCH(14,$L$8:$L$858,0),"")</f>
        <v/>
      </c>
    </row>
    <row r="875">
      <c r="A875" s="321" t="str">
        <f>IF(H875="","","ВАША ЗАЯВКА")</f>
        <v/>
      </c>
      <c r="B875" s="324" t="str">
        <f>IF(H875="","","15. "&amp;INDEX($B$8:$B$858,H875))</f>
        <v/>
      </c>
      <c r="C875" s="325" t="str">
        <f>IF(H875="","",INDEX($C$8:$C$858,H875))</f>
        <v/>
      </c>
      <c r="D875" s="327" t="str">
        <f>IF(H875="","",INDEX($D$8:$D$858,H875))</f>
        <v/>
      </c>
      <c r="E875" s="326" t="str">
        <f>IF(H875="","",INDEX($I$8:$I$858,H875))</f>
        <v/>
      </c>
      <c r="F875" s="328" t="str">
        <f>IF(H875="","",INDEX($F$8:$F$858,H875))</f>
        <v/>
      </c>
      <c r="G875" s="329" t="str">
        <f>IF(H875="","",INDEX($G$8:$G$858,H875))</f>
        <v/>
      </c>
      <c r="H875" s="320" t="str">
        <f>IFERROR(MATCH(15,$L$8:$L$858,0),"")</f>
        <v/>
      </c>
    </row>
    <row r="876">
      <c r="A876" s="321" t="str">
        <f>IF(H876="","","ВАША ЗАЯВКА")</f>
        <v/>
      </c>
      <c r="B876" s="324" t="str">
        <f>IF(H876="","","16. "&amp;INDEX($B$8:$B$858,H876))</f>
        <v/>
      </c>
      <c r="C876" s="325" t="str">
        <f>IF(H876="","",INDEX($C$8:$C$858,H876))</f>
        <v/>
      </c>
      <c r="D876" s="327" t="str">
        <f>IF(H876="","",INDEX($D$8:$D$858,H876))</f>
        <v/>
      </c>
      <c r="E876" s="326" t="str">
        <f>IF(H876="","",INDEX($I$8:$I$858,H876))</f>
        <v/>
      </c>
      <c r="F876" s="328" t="str">
        <f>IF(H876="","",INDEX($F$8:$F$858,H876))</f>
        <v/>
      </c>
      <c r="G876" s="329" t="str">
        <f>IF(H876="","",INDEX($G$8:$G$858,H876))</f>
        <v/>
      </c>
      <c r="H876" s="320" t="str">
        <f>IFERROR(MATCH(16,$L$8:$L$858,0),"")</f>
        <v/>
      </c>
    </row>
    <row r="877">
      <c r="A877" s="321" t="str">
        <f>IF(H877="","","ВАША ЗАЯВКА")</f>
        <v/>
      </c>
      <c r="B877" s="324" t="str">
        <f>IF(H877="","","17. "&amp;INDEX($B$8:$B$858,H877))</f>
        <v/>
      </c>
      <c r="C877" s="325" t="str">
        <f>IF(H877="","",INDEX($C$8:$C$858,H877))</f>
        <v/>
      </c>
      <c r="D877" s="327" t="str">
        <f>IF(H877="","",INDEX($D$8:$D$858,H877))</f>
        <v/>
      </c>
      <c r="E877" s="326" t="str">
        <f>IF(H877="","",INDEX($I$8:$I$858,H877))</f>
        <v/>
      </c>
      <c r="F877" s="328" t="str">
        <f>IF(H877="","",INDEX($F$8:$F$858,H877))</f>
        <v/>
      </c>
      <c r="G877" s="329" t="str">
        <f>IF(H877="","",INDEX($G$8:$G$858,H877))</f>
        <v/>
      </c>
      <c r="H877" s="320" t="str">
        <f>IFERROR(MATCH(17,$L$8:$L$858,0),"")</f>
        <v/>
      </c>
    </row>
    <row r="878">
      <c r="A878" s="321" t="str">
        <f>IF(H878="","","ВАША ЗАЯВКА")</f>
        <v/>
      </c>
      <c r="B878" s="324" t="str">
        <f>IF(H878="","","18. "&amp;INDEX($B$8:$B$858,H878))</f>
        <v/>
      </c>
      <c r="C878" s="325" t="str">
        <f>IF(H878="","",INDEX($C$8:$C$858,H878))</f>
        <v/>
      </c>
      <c r="D878" s="327" t="str">
        <f>IF(H878="","",INDEX($D$8:$D$858,H878))</f>
        <v/>
      </c>
      <c r="E878" s="326" t="str">
        <f>IF(H878="","",INDEX($I$8:$I$858,H878))</f>
        <v/>
      </c>
      <c r="F878" s="328" t="str">
        <f>IF(H878="","",INDEX($F$8:$F$858,H878))</f>
        <v/>
      </c>
      <c r="G878" s="329" t="str">
        <f>IF(H878="","",INDEX($G$8:$G$858,H878))</f>
        <v/>
      </c>
      <c r="H878" s="320" t="str">
        <f>IFERROR(MATCH(18,$L$8:$L$858,0),"")</f>
        <v/>
      </c>
    </row>
    <row r="879">
      <c r="A879" s="321" t="str">
        <f>IF(H879="","","ВАША ЗАЯВКА")</f>
        <v/>
      </c>
      <c r="B879" s="324" t="str">
        <f>IF(H879="","","19. "&amp;INDEX($B$8:$B$858,H879))</f>
        <v/>
      </c>
      <c r="C879" s="325" t="str">
        <f>IF(H879="","",INDEX($C$8:$C$858,H879))</f>
        <v/>
      </c>
      <c r="D879" s="327" t="str">
        <f>IF(H879="","",INDEX($D$8:$D$858,H879))</f>
        <v/>
      </c>
      <c r="E879" s="326" t="str">
        <f>IF(H879="","",INDEX($I$8:$I$858,H879))</f>
        <v/>
      </c>
      <c r="F879" s="328" t="str">
        <f>IF(H879="","",INDEX($F$8:$F$858,H879))</f>
        <v/>
      </c>
      <c r="G879" s="329" t="str">
        <f>IF(H879="","",INDEX($G$8:$G$858,H879))</f>
        <v/>
      </c>
      <c r="H879" s="320" t="str">
        <f>IFERROR(MATCH(19,$L$8:$L$858,0),"")</f>
        <v/>
      </c>
    </row>
    <row r="880">
      <c r="A880" s="321" t="str">
        <f>IF(H880="","","ВАША ЗАЯВКА")</f>
        <v/>
      </c>
      <c r="B880" s="324" t="str">
        <f>IF(H880="","","20. "&amp;INDEX($B$8:$B$858,H880))</f>
        <v/>
      </c>
      <c r="C880" s="325" t="str">
        <f>IF(H880="","",INDEX($C$8:$C$858,H880))</f>
        <v/>
      </c>
      <c r="D880" s="327" t="str">
        <f>IF(H880="","",INDEX($D$8:$D$858,H880))</f>
        <v/>
      </c>
      <c r="E880" s="326" t="str">
        <f>IF(H880="","",INDEX($I$8:$I$858,H880))</f>
        <v/>
      </c>
      <c r="F880" s="328" t="str">
        <f>IF(H880="","",INDEX($F$8:$F$858,H880))</f>
        <v/>
      </c>
      <c r="G880" s="329" t="str">
        <f>IF(H880="","",INDEX($G$8:$G$858,H880))</f>
        <v/>
      </c>
      <c r="H880" s="320" t="str">
        <f>IFERROR(MATCH(20,$L$8:$L$858,0),"")</f>
        <v/>
      </c>
    </row>
    <row r="881">
      <c r="A881" s="321" t="str">
        <f>IF(H881="","","ВАША ЗАЯВКА")</f>
        <v/>
      </c>
      <c r="B881" s="324" t="str">
        <f>IF(H881="","","21. "&amp;INDEX($B$8:$B$858,H881))</f>
        <v/>
      </c>
      <c r="C881" s="325" t="str">
        <f>IF(H881="","",INDEX($C$8:$C$858,H881))</f>
        <v/>
      </c>
      <c r="D881" s="327" t="str">
        <f>IF(H881="","",INDEX($D$8:$D$858,H881))</f>
        <v/>
      </c>
      <c r="E881" s="326" t="str">
        <f>IF(H881="","",INDEX($I$8:$I$858,H881))</f>
        <v/>
      </c>
      <c r="F881" s="328" t="str">
        <f>IF(H881="","",INDEX($F$8:$F$858,H881))</f>
        <v/>
      </c>
      <c r="G881" s="329" t="str">
        <f>IF(H881="","",INDEX($G$8:$G$858,H881))</f>
        <v/>
      </c>
      <c r="H881" s="320" t="str">
        <f>IFERROR(MATCH(21,$L$8:$L$858,0),"")</f>
        <v/>
      </c>
    </row>
    <row r="882">
      <c r="A882" s="321" t="str">
        <f>IF(H882="","","ВАША ЗАЯВКА")</f>
        <v/>
      </c>
      <c r="B882" s="324" t="str">
        <f>IF(H882="","","22. "&amp;INDEX($B$8:$B$858,H882))</f>
        <v/>
      </c>
      <c r="C882" s="325" t="str">
        <f>IF(H882="","",INDEX($C$8:$C$858,H882))</f>
        <v/>
      </c>
      <c r="D882" s="327" t="str">
        <f>IF(H882="","",INDEX($D$8:$D$858,H882))</f>
        <v/>
      </c>
      <c r="E882" s="326" t="str">
        <f>IF(H882="","",INDEX($I$8:$I$858,H882))</f>
        <v/>
      </c>
      <c r="F882" s="328" t="str">
        <f>IF(H882="","",INDEX($F$8:$F$858,H882))</f>
        <v/>
      </c>
      <c r="G882" s="329" t="str">
        <f>IF(H882="","",INDEX($G$8:$G$858,H882))</f>
        <v/>
      </c>
      <c r="H882" s="320" t="str">
        <f>IFERROR(MATCH(22,$L$8:$L$858,0),"")</f>
        <v/>
      </c>
    </row>
    <row r="883">
      <c r="A883" s="321" t="str">
        <f>IF(H883="","","ВАША ЗАЯВКА")</f>
        <v/>
      </c>
      <c r="B883" s="324" t="str">
        <f>IF(H883="","","23. "&amp;INDEX($B$8:$B$858,H883))</f>
        <v/>
      </c>
      <c r="C883" s="325" t="str">
        <f>IF(H883="","",INDEX($C$8:$C$858,H883))</f>
        <v/>
      </c>
      <c r="D883" s="327" t="str">
        <f>IF(H883="","",INDEX($D$8:$D$858,H883))</f>
        <v/>
      </c>
      <c r="E883" s="326" t="str">
        <f>IF(H883="","",INDEX($I$8:$I$858,H883))</f>
        <v/>
      </c>
      <c r="F883" s="328" t="str">
        <f>IF(H883="","",INDEX($F$8:$F$858,H883))</f>
        <v/>
      </c>
      <c r="G883" s="329" t="str">
        <f>IF(H883="","",INDEX($G$8:$G$858,H883))</f>
        <v/>
      </c>
      <c r="H883" s="320" t="str">
        <f>IFERROR(MATCH(23,$L$8:$L$858,0),"")</f>
        <v/>
      </c>
    </row>
    <row r="884">
      <c r="A884" s="321" t="str">
        <f>IF(H884="","","ВАША ЗАЯВКА")</f>
        <v/>
      </c>
      <c r="B884" s="324" t="str">
        <f>IF(H884="","","24. "&amp;INDEX($B$8:$B$858,H884))</f>
        <v/>
      </c>
      <c r="C884" s="325" t="str">
        <f>IF(H884="","",INDEX($C$8:$C$858,H884))</f>
        <v/>
      </c>
      <c r="D884" s="327" t="str">
        <f>IF(H884="","",INDEX($D$8:$D$858,H884))</f>
        <v/>
      </c>
      <c r="E884" s="326" t="str">
        <f>IF(H884="","",INDEX($I$8:$I$858,H884))</f>
        <v/>
      </c>
      <c r="F884" s="328" t="str">
        <f>IF(H884="","",INDEX($F$8:$F$858,H884))</f>
        <v/>
      </c>
      <c r="G884" s="329" t="str">
        <f>IF(H884="","",INDEX($G$8:$G$858,H884))</f>
        <v/>
      </c>
      <c r="H884" s="320" t="str">
        <f>IFERROR(MATCH(24,$L$8:$L$858,0),"")</f>
        <v/>
      </c>
    </row>
    <row r="885">
      <c r="A885" s="321" t="str">
        <f>IF(H885="","","ВАША ЗАЯВКА")</f>
        <v/>
      </c>
      <c r="B885" s="324" t="str">
        <f>IF(H885="","","25. "&amp;INDEX($B$8:$B$858,H885))</f>
        <v/>
      </c>
      <c r="C885" s="325" t="str">
        <f>IF(H885="","",INDEX($C$8:$C$858,H885))</f>
        <v/>
      </c>
      <c r="D885" s="327" t="str">
        <f>IF(H885="","",INDEX($D$8:$D$858,H885))</f>
        <v/>
      </c>
      <c r="E885" s="326" t="str">
        <f>IF(H885="","",INDEX($I$8:$I$858,H885))</f>
        <v/>
      </c>
      <c r="F885" s="328" t="str">
        <f>IF(H885="","",INDEX($F$8:$F$858,H885))</f>
        <v/>
      </c>
      <c r="G885" s="329" t="str">
        <f>IF(H885="","",INDEX($G$8:$G$858,H885))</f>
        <v/>
      </c>
      <c r="H885" s="320" t="str">
        <f>IFERROR(MATCH(25,$L$8:$L$858,0),"")</f>
        <v/>
      </c>
    </row>
    <row r="886">
      <c r="A886" s="321" t="str">
        <f>IF(H886="","","ВАША ЗАЯВКА")</f>
        <v/>
      </c>
      <c r="B886" s="324" t="str">
        <f>IF(H886="","","26. "&amp;INDEX($B$8:$B$858,H886))</f>
        <v/>
      </c>
      <c r="C886" s="325" t="str">
        <f>IF(H886="","",INDEX($C$8:$C$858,H886))</f>
        <v/>
      </c>
      <c r="D886" s="327" t="str">
        <f>IF(H886="","",INDEX($D$8:$D$858,H886))</f>
        <v/>
      </c>
      <c r="E886" s="326" t="str">
        <f>IF(H886="","",INDEX($I$8:$I$858,H886))</f>
        <v/>
      </c>
      <c r="F886" s="328" t="str">
        <f>IF(H886="","",INDEX($F$8:$F$858,H886))</f>
        <v/>
      </c>
      <c r="G886" s="329" t="str">
        <f>IF(H886="","",INDEX($G$8:$G$858,H886))</f>
        <v/>
      </c>
      <c r="H886" s="320" t="str">
        <f>IFERROR(MATCH(26,$L$8:$L$858,0),"")</f>
        <v/>
      </c>
    </row>
    <row r="887">
      <c r="A887" s="321" t="str">
        <f>IF(H887="","","ВАША ЗАЯВКА")</f>
        <v/>
      </c>
      <c r="B887" s="324" t="str">
        <f>IF(H887="","","27. "&amp;INDEX($B$8:$B$858,H887))</f>
        <v/>
      </c>
      <c r="C887" s="325" t="str">
        <f>IF(H887="","",INDEX($C$8:$C$858,H887))</f>
        <v/>
      </c>
      <c r="D887" s="327" t="str">
        <f>IF(H887="","",INDEX($D$8:$D$858,H887))</f>
        <v/>
      </c>
      <c r="E887" s="326" t="str">
        <f>IF(H887="","",INDEX($I$8:$I$858,H887))</f>
        <v/>
      </c>
      <c r="F887" s="328" t="str">
        <f>IF(H887="","",INDEX($F$8:$F$858,H887))</f>
        <v/>
      </c>
      <c r="G887" s="329" t="str">
        <f>IF(H887="","",INDEX($G$8:$G$858,H887))</f>
        <v/>
      </c>
      <c r="H887" s="320" t="str">
        <f>IFERROR(MATCH(27,$L$8:$L$858,0),"")</f>
        <v/>
      </c>
    </row>
    <row r="888">
      <c r="A888" s="321" t="str">
        <f>IF(H888="","","ВАША ЗАЯВКА")</f>
        <v/>
      </c>
      <c r="B888" s="324" t="str">
        <f>IF(H888="","","28. "&amp;INDEX($B$8:$B$858,H888))</f>
        <v/>
      </c>
      <c r="C888" s="325" t="str">
        <f>IF(H888="","",INDEX($C$8:$C$858,H888))</f>
        <v/>
      </c>
      <c r="D888" s="327" t="str">
        <f>IF(H888="","",INDEX($D$8:$D$858,H888))</f>
        <v/>
      </c>
      <c r="E888" s="326" t="str">
        <f>IF(H888="","",INDEX($I$8:$I$858,H888))</f>
        <v/>
      </c>
      <c r="F888" s="328" t="str">
        <f>IF(H888="","",INDEX($F$8:$F$858,H888))</f>
        <v/>
      </c>
      <c r="G888" s="329" t="str">
        <f>IF(H888="","",INDEX($G$8:$G$858,H888))</f>
        <v/>
      </c>
      <c r="H888" s="320" t="str">
        <f>IFERROR(MATCH(28,$L$8:$L$858,0),"")</f>
        <v/>
      </c>
    </row>
    <row r="889">
      <c r="A889" s="321" t="str">
        <f>IF(H889="","","ВАША ЗАЯВКА")</f>
        <v/>
      </c>
      <c r="B889" s="324" t="str">
        <f>IF(H889="","","29. "&amp;INDEX($B$8:$B$858,H889))</f>
        <v/>
      </c>
      <c r="C889" s="325" t="str">
        <f>IF(H889="","",INDEX($C$8:$C$858,H889))</f>
        <v/>
      </c>
      <c r="D889" s="327" t="str">
        <f>IF(H889="","",INDEX($D$8:$D$858,H889))</f>
        <v/>
      </c>
      <c r="E889" s="326" t="str">
        <f>IF(H889="","",INDEX($I$8:$I$858,H889))</f>
        <v/>
      </c>
      <c r="F889" s="328" t="str">
        <f>IF(H889="","",INDEX($F$8:$F$858,H889))</f>
        <v/>
      </c>
      <c r="G889" s="329" t="str">
        <f>IF(H889="","",INDEX($G$8:$G$858,H889))</f>
        <v/>
      </c>
      <c r="H889" s="320" t="str">
        <f>IFERROR(MATCH(29,$L$8:$L$858,0),"")</f>
        <v/>
      </c>
    </row>
    <row r="890">
      <c r="A890" s="321" t="str">
        <f>IF(H890="","","ВАША ЗАЯВКА")</f>
        <v/>
      </c>
      <c r="B890" s="324" t="str">
        <f>IF(H890="","","30. "&amp;INDEX($B$8:$B$858,H890))</f>
        <v/>
      </c>
      <c r="C890" s="325" t="str">
        <f>IF(H890="","",INDEX($C$8:$C$858,H890))</f>
        <v/>
      </c>
      <c r="D890" s="327" t="str">
        <f>IF(H890="","",INDEX($D$8:$D$858,H890))</f>
        <v/>
      </c>
      <c r="E890" s="326" t="str">
        <f>IF(H890="","",INDEX($I$8:$I$858,H890))</f>
        <v/>
      </c>
      <c r="F890" s="328" t="str">
        <f>IF(H890="","",INDEX($F$8:$F$858,H890))</f>
        <v/>
      </c>
      <c r="G890" s="329" t="str">
        <f>IF(H890="","",INDEX($G$8:$G$858,H890))</f>
        <v/>
      </c>
      <c r="H890" s="320" t="str">
        <f>IFERROR(MATCH(30,$L$8:$L$858,0),"")</f>
        <v/>
      </c>
    </row>
    <row r="891">
      <c r="A891" s="321" t="str">
        <f>IF(H891="","","ВАША ЗАЯВКА")</f>
        <v/>
      </c>
      <c r="B891" s="324" t="str">
        <f>IF(H891="","","31. "&amp;INDEX($B$8:$B$858,H891))</f>
        <v/>
      </c>
      <c r="C891" s="325" t="str">
        <f>IF(H891="","",INDEX($C$8:$C$858,H891))</f>
        <v/>
      </c>
      <c r="D891" s="327" t="str">
        <f>IF(H891="","",INDEX($D$8:$D$858,H891))</f>
        <v/>
      </c>
      <c r="E891" s="326" t="str">
        <f>IF(H891="","",INDEX($I$8:$I$858,H891))</f>
        <v/>
      </c>
      <c r="F891" s="328" t="str">
        <f>IF(H891="","",INDEX($F$8:$F$858,H891))</f>
        <v/>
      </c>
      <c r="G891" s="329" t="str">
        <f>IF(H891="","",INDEX($G$8:$G$858,H891))</f>
        <v/>
      </c>
      <c r="H891" s="320" t="str">
        <f>IFERROR(MATCH(31,$L$8:$L$858,0),"")</f>
        <v/>
      </c>
    </row>
    <row r="892">
      <c r="A892" s="321" t="str">
        <f>IF(H892="","","ВАША ЗАЯВКА")</f>
        <v/>
      </c>
      <c r="B892" s="324" t="str">
        <f>IF(H892="","","32. "&amp;INDEX($B$8:$B$858,H892))</f>
        <v/>
      </c>
      <c r="C892" s="325" t="str">
        <f>IF(H892="","",INDEX($C$8:$C$858,H892))</f>
        <v/>
      </c>
      <c r="D892" s="327" t="str">
        <f>IF(H892="","",INDEX($D$8:$D$858,H892))</f>
        <v/>
      </c>
      <c r="E892" s="326" t="str">
        <f>IF(H892="","",INDEX($I$8:$I$858,H892))</f>
        <v/>
      </c>
      <c r="F892" s="328" t="str">
        <f>IF(H892="","",INDEX($F$8:$F$858,H892))</f>
        <v/>
      </c>
      <c r="G892" s="329" t="str">
        <f>IF(H892="","",INDEX($G$8:$G$858,H892))</f>
        <v/>
      </c>
      <c r="H892" s="320" t="str">
        <f>IFERROR(MATCH(32,$L$8:$L$858,0),"")</f>
        <v/>
      </c>
    </row>
    <row r="893">
      <c r="A893" s="321" t="str">
        <f>IF(H893="","","ВАША ЗАЯВКА")</f>
        <v/>
      </c>
      <c r="B893" s="324" t="str">
        <f>IF(H893="","","33. "&amp;INDEX($B$8:$B$858,H893))</f>
        <v/>
      </c>
      <c r="C893" s="325" t="str">
        <f>IF(H893="","",INDEX($C$8:$C$858,H893))</f>
        <v/>
      </c>
      <c r="D893" s="327" t="str">
        <f>IF(H893="","",INDEX($D$8:$D$858,H893))</f>
        <v/>
      </c>
      <c r="E893" s="326" t="str">
        <f>IF(H893="","",INDEX($I$8:$I$858,H893))</f>
        <v/>
      </c>
      <c r="F893" s="328" t="str">
        <f>IF(H893="","",INDEX($F$8:$F$858,H893))</f>
        <v/>
      </c>
      <c r="G893" s="329" t="str">
        <f>IF(H893="","",INDEX($G$8:$G$858,H893))</f>
        <v/>
      </c>
      <c r="H893" s="320" t="str">
        <f>IFERROR(MATCH(33,$L$8:$L$858,0),"")</f>
        <v/>
      </c>
    </row>
    <row r="894">
      <c r="A894" s="321" t="str">
        <f>IF(H894="","","ВАША ЗАЯВКА")</f>
        <v/>
      </c>
      <c r="B894" s="324" t="str">
        <f>IF(H894="","","34. "&amp;INDEX($B$8:$B$858,H894))</f>
        <v/>
      </c>
      <c r="C894" s="325" t="str">
        <f>IF(H894="","",INDEX($C$8:$C$858,H894))</f>
        <v/>
      </c>
      <c r="D894" s="327" t="str">
        <f>IF(H894="","",INDEX($D$8:$D$858,H894))</f>
        <v/>
      </c>
      <c r="E894" s="326" t="str">
        <f>IF(H894="","",INDEX($I$8:$I$858,H894))</f>
        <v/>
      </c>
      <c r="F894" s="328" t="str">
        <f>IF(H894="","",INDEX($F$8:$F$858,H894))</f>
        <v/>
      </c>
      <c r="G894" s="329" t="str">
        <f>IF(H894="","",INDEX($G$8:$G$858,H894))</f>
        <v/>
      </c>
      <c r="H894" s="320" t="str">
        <f>IFERROR(MATCH(34,$L$8:$L$858,0),"")</f>
        <v/>
      </c>
    </row>
    <row r="895">
      <c r="A895" s="321" t="str">
        <f>IF(H895="","","ВАША ЗАЯВКА")</f>
        <v/>
      </c>
      <c r="B895" s="324" t="str">
        <f>IF(H895="","","35. "&amp;INDEX($B$8:$B$858,H895))</f>
        <v/>
      </c>
      <c r="C895" s="325" t="str">
        <f>IF(H895="","",INDEX($C$8:$C$858,H895))</f>
        <v/>
      </c>
      <c r="D895" s="327" t="str">
        <f>IF(H895="","",INDEX($D$8:$D$858,H895))</f>
        <v/>
      </c>
      <c r="E895" s="326" t="str">
        <f>IF(H895="","",INDEX($I$8:$I$858,H895))</f>
        <v/>
      </c>
      <c r="F895" s="328" t="str">
        <f>IF(H895="","",INDEX($F$8:$F$858,H895))</f>
        <v/>
      </c>
      <c r="G895" s="329" t="str">
        <f>IF(H895="","",INDEX($G$8:$G$858,H895))</f>
        <v/>
      </c>
      <c r="H895" s="320" t="str">
        <f>IFERROR(MATCH(35,$L$8:$L$858,0),"")</f>
        <v/>
      </c>
    </row>
    <row r="896">
      <c r="A896" s="321" t="str">
        <f>IF(H896="","","ВАША ЗАЯВКА")</f>
        <v/>
      </c>
      <c r="B896" s="324" t="str">
        <f>IF(H896="","","36. "&amp;INDEX($B$8:$B$858,H896))</f>
        <v/>
      </c>
      <c r="C896" s="325" t="str">
        <f>IF(H896="","",INDEX($C$8:$C$858,H896))</f>
        <v/>
      </c>
      <c r="D896" s="327" t="str">
        <f>IF(H896="","",INDEX($D$8:$D$858,H896))</f>
        <v/>
      </c>
      <c r="E896" s="326" t="str">
        <f>IF(H896="","",INDEX($I$8:$I$858,H896))</f>
        <v/>
      </c>
      <c r="F896" s="328" t="str">
        <f>IF(H896="","",INDEX($F$8:$F$858,H896))</f>
        <v/>
      </c>
      <c r="G896" s="329" t="str">
        <f>IF(H896="","",INDEX($G$8:$G$858,H896))</f>
        <v/>
      </c>
      <c r="H896" s="320" t="str">
        <f>IFERROR(MATCH(36,$L$8:$L$858,0),"")</f>
        <v/>
      </c>
    </row>
    <row r="897">
      <c r="A897" s="321" t="str">
        <f>IF(H897="","","ВАША ЗАЯВКА")</f>
        <v/>
      </c>
      <c r="B897" s="324" t="str">
        <f>IF(H897="","","37. "&amp;INDEX($B$8:$B$858,H897))</f>
        <v/>
      </c>
      <c r="C897" s="325" t="str">
        <f>IF(H897="","",INDEX($C$8:$C$858,H897))</f>
        <v/>
      </c>
      <c r="D897" s="327" t="str">
        <f>IF(H897="","",INDEX($D$8:$D$858,H897))</f>
        <v/>
      </c>
      <c r="E897" s="326" t="str">
        <f>IF(H897="","",INDEX($I$8:$I$858,H897))</f>
        <v/>
      </c>
      <c r="F897" s="328" t="str">
        <f>IF(H897="","",INDEX($F$8:$F$858,H897))</f>
        <v/>
      </c>
      <c r="G897" s="329" t="str">
        <f>IF(H897="","",INDEX($G$8:$G$858,H897))</f>
        <v/>
      </c>
      <c r="H897" s="320" t="str">
        <f>IFERROR(MATCH(37,$L$8:$L$858,0),"")</f>
        <v/>
      </c>
    </row>
    <row r="898">
      <c r="A898" s="321" t="str">
        <f>IF(H898="","","ВАША ЗАЯВКА")</f>
        <v/>
      </c>
      <c r="B898" s="324" t="str">
        <f>IF(H898="","","38. "&amp;INDEX($B$8:$B$858,H898))</f>
        <v/>
      </c>
      <c r="C898" s="325" t="str">
        <f>IF(H898="","",INDEX($C$8:$C$858,H898))</f>
        <v/>
      </c>
      <c r="D898" s="327" t="str">
        <f>IF(H898="","",INDEX($D$8:$D$858,H898))</f>
        <v/>
      </c>
      <c r="E898" s="326" t="str">
        <f>IF(H898="","",INDEX($I$8:$I$858,H898))</f>
        <v/>
      </c>
      <c r="F898" s="328" t="str">
        <f>IF(H898="","",INDEX($F$8:$F$858,H898))</f>
        <v/>
      </c>
      <c r="G898" s="329" t="str">
        <f>IF(H898="","",INDEX($G$8:$G$858,H898))</f>
        <v/>
      </c>
      <c r="H898" s="320" t="str">
        <f>IFERROR(MATCH(38,$L$8:$L$858,0),"")</f>
        <v/>
      </c>
    </row>
    <row r="899">
      <c r="A899" s="321" t="str">
        <f>IF(H899="","","ВАША ЗАЯВКА")</f>
        <v/>
      </c>
      <c r="B899" s="324" t="str">
        <f>IF(H899="","","39. "&amp;INDEX($B$8:$B$858,H899))</f>
        <v/>
      </c>
      <c r="C899" s="325" t="str">
        <f>IF(H899="","",INDEX($C$8:$C$858,H899))</f>
        <v/>
      </c>
      <c r="D899" s="327" t="str">
        <f>IF(H899="","",INDEX($D$8:$D$858,H899))</f>
        <v/>
      </c>
      <c r="E899" s="326" t="str">
        <f>IF(H899="","",INDEX($I$8:$I$858,H899))</f>
        <v/>
      </c>
      <c r="F899" s="328" t="str">
        <f>IF(H899="","",INDEX($F$8:$F$858,H899))</f>
        <v/>
      </c>
      <c r="G899" s="329" t="str">
        <f>IF(H899="","",INDEX($G$8:$G$858,H899))</f>
        <v/>
      </c>
      <c r="H899" s="320" t="str">
        <f>IFERROR(MATCH(39,$L$8:$L$858,0),"")</f>
        <v/>
      </c>
    </row>
    <row r="900">
      <c r="A900" s="321" t="str">
        <f>IF(H900="","","ВАША ЗАЯВКА")</f>
        <v/>
      </c>
      <c r="B900" s="324" t="str">
        <f>IF(H900="","","40. "&amp;INDEX($B$8:$B$858,H900))</f>
        <v/>
      </c>
      <c r="C900" s="325" t="str">
        <f>IF(H900="","",INDEX($C$8:$C$858,H900))</f>
        <v/>
      </c>
      <c r="D900" s="327" t="str">
        <f>IF(H900="","",INDEX($D$8:$D$858,H900))</f>
        <v/>
      </c>
      <c r="E900" s="326" t="str">
        <f>IF(H900="","",INDEX($I$8:$I$858,H900))</f>
        <v/>
      </c>
      <c r="F900" s="328" t="str">
        <f>IF(H900="","",INDEX($F$8:$F$858,H900))</f>
        <v/>
      </c>
      <c r="G900" s="329" t="str">
        <f>IF(H900="","",INDEX($G$8:$G$858,H900))</f>
        <v/>
      </c>
      <c r="H900" s="320" t="str">
        <f>IFERROR(MATCH(40,$L$8:$L$858,0),"")</f>
        <v/>
      </c>
    </row>
    <row r="901">
      <c r="A901" s="321" t="str">
        <f>IF(H901="","","ВАША ЗАЯВКА")</f>
        <v/>
      </c>
      <c r="B901" s="324" t="str">
        <f>IF(H901="","","41. "&amp;INDEX($B$8:$B$858,H901))</f>
        <v/>
      </c>
      <c r="C901" s="325" t="str">
        <f>IF(H901="","",INDEX($C$8:$C$858,H901))</f>
        <v/>
      </c>
      <c r="D901" s="327" t="str">
        <f>IF(H901="","",INDEX($D$8:$D$858,H901))</f>
        <v/>
      </c>
      <c r="E901" s="326" t="str">
        <f>IF(H901="","",INDEX($I$8:$I$858,H901))</f>
        <v/>
      </c>
      <c r="F901" s="328" t="str">
        <f>IF(H901="","",INDEX($F$8:$F$858,H901))</f>
        <v/>
      </c>
      <c r="G901" s="329" t="str">
        <f>IF(H901="","",INDEX($G$8:$G$858,H901))</f>
        <v/>
      </c>
      <c r="H901" s="320" t="str">
        <f>IFERROR(MATCH(41,$L$8:$L$858,0),"")</f>
        <v/>
      </c>
    </row>
    <row r="902">
      <c r="A902" s="321" t="str">
        <f>IF(H902="","","ВАША ЗАЯВКА")</f>
        <v/>
      </c>
      <c r="B902" s="324" t="str">
        <f>IF(H902="","","42. "&amp;INDEX($B$8:$B$858,H902))</f>
        <v/>
      </c>
      <c r="C902" s="325" t="str">
        <f>IF(H902="","",INDEX($C$8:$C$858,H902))</f>
        <v/>
      </c>
      <c r="D902" s="327" t="str">
        <f>IF(H902="","",INDEX($D$8:$D$858,H902))</f>
        <v/>
      </c>
      <c r="E902" s="326" t="str">
        <f>IF(H902="","",INDEX($I$8:$I$858,H902))</f>
        <v/>
      </c>
      <c r="F902" s="328" t="str">
        <f>IF(H902="","",INDEX($F$8:$F$858,H902))</f>
        <v/>
      </c>
      <c r="G902" s="329" t="str">
        <f>IF(H902="","",INDEX($G$8:$G$858,H902))</f>
        <v/>
      </c>
      <c r="H902" s="320" t="str">
        <f>IFERROR(MATCH(42,$L$8:$L$858,0),"")</f>
        <v/>
      </c>
    </row>
    <row r="903">
      <c r="A903" s="321" t="str">
        <f>IF(H903="","","ВАША ЗАЯВКА")</f>
        <v/>
      </c>
      <c r="B903" s="324" t="str">
        <f>IF(H903="","","43. "&amp;INDEX($B$8:$B$858,H903))</f>
        <v/>
      </c>
      <c r="C903" s="325" t="str">
        <f>IF(H903="","",INDEX($C$8:$C$858,H903))</f>
        <v/>
      </c>
      <c r="D903" s="327" t="str">
        <f>IF(H903="","",INDEX($D$8:$D$858,H903))</f>
        <v/>
      </c>
      <c r="E903" s="326" t="str">
        <f>IF(H903="","",INDEX($I$8:$I$858,H903))</f>
        <v/>
      </c>
      <c r="F903" s="328" t="str">
        <f>IF(H903="","",INDEX($F$8:$F$858,H903))</f>
        <v/>
      </c>
      <c r="G903" s="329" t="str">
        <f>IF(H903="","",INDEX($G$8:$G$858,H903))</f>
        <v/>
      </c>
      <c r="H903" s="320" t="str">
        <f>IFERROR(MATCH(43,$L$8:$L$858,0),"")</f>
        <v/>
      </c>
    </row>
    <row r="904">
      <c r="A904" s="321" t="str">
        <f>IF(H904="","","ВАША ЗАЯВКА")</f>
        <v/>
      </c>
      <c r="B904" s="324" t="str">
        <f>IF(H904="","","44. "&amp;INDEX($B$8:$B$858,H904))</f>
        <v/>
      </c>
      <c r="C904" s="325" t="str">
        <f>IF(H904="","",INDEX($C$8:$C$858,H904))</f>
        <v/>
      </c>
      <c r="D904" s="327" t="str">
        <f>IF(H904="","",INDEX($D$8:$D$858,H904))</f>
        <v/>
      </c>
      <c r="E904" s="326" t="str">
        <f>IF(H904="","",INDEX($I$8:$I$858,H904))</f>
        <v/>
      </c>
      <c r="F904" s="328" t="str">
        <f>IF(H904="","",INDEX($F$8:$F$858,H904))</f>
        <v/>
      </c>
      <c r="G904" s="329" t="str">
        <f>IF(H904="","",INDEX($G$8:$G$858,H904))</f>
        <v/>
      </c>
      <c r="H904" s="320" t="str">
        <f>IFERROR(MATCH(44,$L$8:$L$858,0),"")</f>
        <v/>
      </c>
    </row>
    <row r="905">
      <c r="A905" s="321" t="str">
        <f>IF(H905="","","ВАША ЗАЯВКА")</f>
        <v/>
      </c>
      <c r="B905" s="324" t="str">
        <f>IF(H905="","","45. "&amp;INDEX($B$8:$B$858,H905))</f>
        <v/>
      </c>
      <c r="C905" s="325" t="str">
        <f>IF(H905="","",INDEX($C$8:$C$858,H905))</f>
        <v/>
      </c>
      <c r="D905" s="327" t="str">
        <f>IF(H905="","",INDEX($D$8:$D$858,H905))</f>
        <v/>
      </c>
      <c r="E905" s="326" t="str">
        <f>IF(H905="","",INDEX($I$8:$I$858,H905))</f>
        <v/>
      </c>
      <c r="F905" s="328" t="str">
        <f>IF(H905="","",INDEX($F$8:$F$858,H905))</f>
        <v/>
      </c>
      <c r="G905" s="329" t="str">
        <f>IF(H905="","",INDEX($G$8:$G$858,H905))</f>
        <v/>
      </c>
      <c r="H905" s="320" t="str">
        <f>IFERROR(MATCH(45,$L$8:$L$858,0),"")</f>
        <v/>
      </c>
    </row>
    <row r="906">
      <c r="A906" s="321" t="str">
        <f>IF(H906="","","ВАША ЗАЯВКА")</f>
        <v/>
      </c>
      <c r="B906" s="324" t="str">
        <f>IF(H906="","","46. "&amp;INDEX($B$8:$B$858,H906))</f>
        <v/>
      </c>
      <c r="C906" s="325" t="str">
        <f>IF(H906="","",INDEX($C$8:$C$858,H906))</f>
        <v/>
      </c>
      <c r="D906" s="327" t="str">
        <f>IF(H906="","",INDEX($D$8:$D$858,H906))</f>
        <v/>
      </c>
      <c r="E906" s="326" t="str">
        <f>IF(H906="","",INDEX($I$8:$I$858,H906))</f>
        <v/>
      </c>
      <c r="F906" s="328" t="str">
        <f>IF(H906="","",INDEX($F$8:$F$858,H906))</f>
        <v/>
      </c>
      <c r="G906" s="329" t="str">
        <f>IF(H906="","",INDEX($G$8:$G$858,H906))</f>
        <v/>
      </c>
      <c r="H906" s="320" t="str">
        <f>IFERROR(MATCH(46,$L$8:$L$858,0),"")</f>
        <v/>
      </c>
    </row>
    <row r="907">
      <c r="A907" s="321" t="str">
        <f>IF(H907="","","ВАША ЗАЯВКА")</f>
        <v/>
      </c>
      <c r="B907" s="324" t="str">
        <f>IF(H907="","","47. "&amp;INDEX($B$8:$B$858,H907))</f>
        <v/>
      </c>
      <c r="C907" s="325" t="str">
        <f>IF(H907="","",INDEX($C$8:$C$858,H907))</f>
        <v/>
      </c>
      <c r="D907" s="327" t="str">
        <f>IF(H907="","",INDEX($D$8:$D$858,H907))</f>
        <v/>
      </c>
      <c r="E907" s="326" t="str">
        <f>IF(H907="","",INDEX($I$8:$I$858,H907))</f>
        <v/>
      </c>
      <c r="F907" s="328" t="str">
        <f>IF(H907="","",INDEX($F$8:$F$858,H907))</f>
        <v/>
      </c>
      <c r="G907" s="329" t="str">
        <f>IF(H907="","",INDEX($G$8:$G$858,H907))</f>
        <v/>
      </c>
      <c r="H907" s="320" t="str">
        <f>IFERROR(MATCH(47,$L$8:$L$858,0),"")</f>
        <v/>
      </c>
    </row>
    <row r="908">
      <c r="A908" s="321" t="str">
        <f>IF(H908="","","ВАША ЗАЯВКА")</f>
        <v/>
      </c>
      <c r="B908" s="324" t="str">
        <f>IF(H908="","","48. "&amp;INDEX($B$8:$B$858,H908))</f>
        <v/>
      </c>
      <c r="C908" s="325" t="str">
        <f>IF(H908="","",INDEX($C$8:$C$858,H908))</f>
        <v/>
      </c>
      <c r="D908" s="327" t="str">
        <f>IF(H908="","",INDEX($D$8:$D$858,H908))</f>
        <v/>
      </c>
      <c r="E908" s="326" t="str">
        <f>IF(H908="","",INDEX($I$8:$I$858,H908))</f>
        <v/>
      </c>
      <c r="F908" s="328" t="str">
        <f>IF(H908="","",INDEX($F$8:$F$858,H908))</f>
        <v/>
      </c>
      <c r="G908" s="329" t="str">
        <f>IF(H908="","",INDEX($G$8:$G$858,H908))</f>
        <v/>
      </c>
      <c r="H908" s="320" t="str">
        <f>IFERROR(MATCH(48,$L$8:$L$858,0),"")</f>
        <v/>
      </c>
    </row>
    <row r="909">
      <c r="A909" s="321" t="str">
        <f>IF(H909="","","ВАША ЗАЯВКА")</f>
        <v/>
      </c>
      <c r="B909" s="324" t="str">
        <f>IF(H909="","","49. "&amp;INDEX($B$8:$B$858,H909))</f>
        <v/>
      </c>
      <c r="C909" s="325" t="str">
        <f>IF(H909="","",INDEX($C$8:$C$858,H909))</f>
        <v/>
      </c>
      <c r="D909" s="327" t="str">
        <f>IF(H909="","",INDEX($D$8:$D$858,H909))</f>
        <v/>
      </c>
      <c r="E909" s="326" t="str">
        <f>IF(H909="","",INDEX($I$8:$I$858,H909))</f>
        <v/>
      </c>
      <c r="F909" s="328" t="str">
        <f>IF(H909="","",INDEX($F$8:$F$858,H909))</f>
        <v/>
      </c>
      <c r="G909" s="329" t="str">
        <f>IF(H909="","",INDEX($G$8:$G$858,H909))</f>
        <v/>
      </c>
      <c r="H909" s="320" t="str">
        <f>IFERROR(MATCH(49,$L$8:$L$858,0),"")</f>
        <v/>
      </c>
    </row>
    <row r="910">
      <c r="A910" s="321" t="str">
        <f>IF(H910="","","ВАША ЗАЯВКА")</f>
        <v/>
      </c>
      <c r="B910" s="324" t="str">
        <f>IF(H910="","","50. "&amp;INDEX($B$8:$B$858,H910))</f>
        <v/>
      </c>
      <c r="C910" s="325" t="str">
        <f>IF(H910="","",INDEX($C$8:$C$858,H910))</f>
        <v/>
      </c>
      <c r="D910" s="327" t="str">
        <f>IF(H910="","",INDEX($D$8:$D$858,H910))</f>
        <v/>
      </c>
      <c r="E910" s="326" t="str">
        <f>IF(H910="","",INDEX($I$8:$I$858,H910))</f>
        <v/>
      </c>
      <c r="F910" s="328" t="str">
        <f>IF(H910="","",INDEX($F$8:$F$858,H910))</f>
        <v/>
      </c>
      <c r="G910" s="329" t="str">
        <f>IF(H910="","",INDEX($G$8:$G$858,H910))</f>
        <v/>
      </c>
      <c r="H910" s="320" t="str">
        <f>IFERROR(MATCH(50,$L$8:$L$858,0),"")</f>
        <v/>
      </c>
    </row>
    <row r="911">
      <c r="A911" s="321" t="str">
        <f>IF(H911="","","ВАША ЗАЯВКА")</f>
        <v/>
      </c>
      <c r="B911" s="324" t="str">
        <f>IF(H911="","","51. "&amp;INDEX($B$8:$B$858,H911))</f>
        <v/>
      </c>
      <c r="C911" s="325" t="str">
        <f>IF(H911="","",INDEX($C$8:$C$858,H911))</f>
        <v/>
      </c>
      <c r="D911" s="327" t="str">
        <f>IF(H911="","",INDEX($D$8:$D$858,H911))</f>
        <v/>
      </c>
      <c r="E911" s="326" t="str">
        <f>IF(H911="","",INDEX($I$8:$I$858,H911))</f>
        <v/>
      </c>
      <c r="F911" s="328" t="str">
        <f>IF(H911="","",INDEX($F$8:$F$858,H911))</f>
        <v/>
      </c>
      <c r="G911" s="329" t="str">
        <f>IF(H911="","",INDEX($G$8:$G$858,H911))</f>
        <v/>
      </c>
      <c r="H911" s="320" t="str">
        <f>IFERROR(MATCH(51,$L$8:$L$858,0),"")</f>
        <v/>
      </c>
    </row>
    <row r="912">
      <c r="A912" s="321" t="str">
        <f>IF(H912="","","ВАША ЗАЯВКА")</f>
        <v/>
      </c>
      <c r="B912" s="324" t="str">
        <f>IF(H912="","","52. "&amp;INDEX($B$8:$B$858,H912))</f>
        <v/>
      </c>
      <c r="C912" s="325" t="str">
        <f>IF(H912="","",INDEX($C$8:$C$858,H912))</f>
        <v/>
      </c>
      <c r="D912" s="327" t="str">
        <f>IF(H912="","",INDEX($D$8:$D$858,H912))</f>
        <v/>
      </c>
      <c r="E912" s="326" t="str">
        <f>IF(H912="","",INDEX($I$8:$I$858,H912))</f>
        <v/>
      </c>
      <c r="F912" s="328" t="str">
        <f>IF(H912="","",INDEX($F$8:$F$858,H912))</f>
        <v/>
      </c>
      <c r="G912" s="329" t="str">
        <f>IF(H912="","",INDEX($G$8:$G$858,H912))</f>
        <v/>
      </c>
      <c r="H912" s="320" t="str">
        <f>IFERROR(MATCH(52,$L$8:$L$858,0),"")</f>
        <v/>
      </c>
    </row>
    <row r="913">
      <c r="A913" s="321" t="str">
        <f>IF(H913="","","ВАША ЗАЯВКА")</f>
        <v/>
      </c>
      <c r="B913" s="324" t="str">
        <f>IF(H913="","","53. "&amp;INDEX($B$8:$B$858,H913))</f>
        <v/>
      </c>
      <c r="C913" s="325" t="str">
        <f>IF(H913="","",INDEX($C$8:$C$858,H913))</f>
        <v/>
      </c>
      <c r="D913" s="327" t="str">
        <f>IF(H913="","",INDEX($D$8:$D$858,H913))</f>
        <v/>
      </c>
      <c r="E913" s="326" t="str">
        <f>IF(H913="","",INDEX($I$8:$I$858,H913))</f>
        <v/>
      </c>
      <c r="F913" s="328" t="str">
        <f>IF(H913="","",INDEX($F$8:$F$858,H913))</f>
        <v/>
      </c>
      <c r="G913" s="329" t="str">
        <f>IF(H913="","",INDEX($G$8:$G$858,H913))</f>
        <v/>
      </c>
      <c r="H913" s="320" t="str">
        <f>IFERROR(MATCH(53,$L$8:$L$858,0),"")</f>
        <v/>
      </c>
    </row>
    <row r="914">
      <c r="A914" s="321" t="str">
        <f>IF(H914="","","ВАША ЗАЯВКА")</f>
        <v/>
      </c>
      <c r="B914" s="324" t="str">
        <f>IF(H914="","","54. "&amp;INDEX($B$8:$B$858,H914))</f>
        <v/>
      </c>
      <c r="C914" s="325" t="str">
        <f>IF(H914="","",INDEX($C$8:$C$858,H914))</f>
        <v/>
      </c>
      <c r="D914" s="327" t="str">
        <f>IF(H914="","",INDEX($D$8:$D$858,H914))</f>
        <v/>
      </c>
      <c r="E914" s="326" t="str">
        <f>IF(H914="","",INDEX($I$8:$I$858,H914))</f>
        <v/>
      </c>
      <c r="F914" s="328" t="str">
        <f>IF(H914="","",INDEX($F$8:$F$858,H914))</f>
        <v/>
      </c>
      <c r="G914" s="329" t="str">
        <f>IF(H914="","",INDEX($G$8:$G$858,H914))</f>
        <v/>
      </c>
      <c r="H914" s="320" t="str">
        <f>IFERROR(MATCH(54,$L$8:$L$858,0),"")</f>
        <v/>
      </c>
    </row>
    <row r="915">
      <c r="A915" s="321" t="str">
        <f>IF(H915="","","ВАША ЗАЯВКА")</f>
        <v/>
      </c>
      <c r="B915" s="324" t="str">
        <f>IF(H915="","","55. "&amp;INDEX($B$8:$B$858,H915))</f>
        <v/>
      </c>
      <c r="C915" s="325" t="str">
        <f>IF(H915="","",INDEX($C$8:$C$858,H915))</f>
        <v/>
      </c>
      <c r="D915" s="327" t="str">
        <f>IF(H915="","",INDEX($D$8:$D$858,H915))</f>
        <v/>
      </c>
      <c r="E915" s="326" t="str">
        <f>IF(H915="","",INDEX($I$8:$I$858,H915))</f>
        <v/>
      </c>
      <c r="F915" s="328" t="str">
        <f>IF(H915="","",INDEX($F$8:$F$858,H915))</f>
        <v/>
      </c>
      <c r="G915" s="329" t="str">
        <f>IF(H915="","",INDEX($G$8:$G$858,H915))</f>
        <v/>
      </c>
      <c r="H915" s="320" t="str">
        <f>IFERROR(MATCH(55,$L$8:$L$858,0),"")</f>
        <v/>
      </c>
    </row>
    <row r="916">
      <c r="A916" s="321" t="str">
        <f>IF(H916="","","ВАША ЗАЯВКА")</f>
        <v/>
      </c>
      <c r="B916" s="324" t="str">
        <f>IF(H916="","","56. "&amp;INDEX($B$8:$B$858,H916))</f>
        <v/>
      </c>
      <c r="C916" s="325" t="str">
        <f>IF(H916="","",INDEX($C$8:$C$858,H916))</f>
        <v/>
      </c>
      <c r="D916" s="327" t="str">
        <f>IF(H916="","",INDEX($D$8:$D$858,H916))</f>
        <v/>
      </c>
      <c r="E916" s="326" t="str">
        <f>IF(H916="","",INDEX($I$8:$I$858,H916))</f>
        <v/>
      </c>
      <c r="F916" s="328" t="str">
        <f>IF(H916="","",INDEX($F$8:$F$858,H916))</f>
        <v/>
      </c>
      <c r="G916" s="329" t="str">
        <f>IF(H916="","",INDEX($G$8:$G$858,H916))</f>
        <v/>
      </c>
      <c r="H916" s="320" t="str">
        <f>IFERROR(MATCH(56,$L$8:$L$858,0),"")</f>
        <v/>
      </c>
    </row>
    <row r="917">
      <c r="A917" s="321" t="str">
        <f>IF(H917="","","ВАША ЗАЯВКА")</f>
        <v/>
      </c>
      <c r="B917" s="324" t="str">
        <f>IF(H917="","","57. "&amp;INDEX($B$8:$B$858,H917))</f>
        <v/>
      </c>
      <c r="C917" s="325" t="str">
        <f>IF(H917="","",INDEX($C$8:$C$858,H917))</f>
        <v/>
      </c>
      <c r="D917" s="327" t="str">
        <f>IF(H917="","",INDEX($D$8:$D$858,H917))</f>
        <v/>
      </c>
      <c r="E917" s="326" t="str">
        <f>IF(H917="","",INDEX($I$8:$I$858,H917))</f>
        <v/>
      </c>
      <c r="F917" s="328" t="str">
        <f>IF(H917="","",INDEX($F$8:$F$858,H917))</f>
        <v/>
      </c>
      <c r="G917" s="329" t="str">
        <f>IF(H917="","",INDEX($G$8:$G$858,H917))</f>
        <v/>
      </c>
      <c r="H917" s="320" t="str">
        <f>IFERROR(MATCH(57,$L$8:$L$858,0),"")</f>
        <v/>
      </c>
    </row>
    <row r="918">
      <c r="A918" s="321" t="str">
        <f>IF(H918="","","ВАША ЗАЯВКА")</f>
        <v/>
      </c>
      <c r="B918" s="324" t="str">
        <f>IF(H918="","","58. "&amp;INDEX($B$8:$B$858,H918))</f>
        <v/>
      </c>
      <c r="C918" s="325" t="str">
        <f>IF(H918="","",INDEX($C$8:$C$858,H918))</f>
        <v/>
      </c>
      <c r="D918" s="327" t="str">
        <f>IF(H918="","",INDEX($D$8:$D$858,H918))</f>
        <v/>
      </c>
      <c r="E918" s="326" t="str">
        <f>IF(H918="","",INDEX($I$8:$I$858,H918))</f>
        <v/>
      </c>
      <c r="F918" s="328" t="str">
        <f>IF(H918="","",INDEX($F$8:$F$858,H918))</f>
        <v/>
      </c>
      <c r="G918" s="329" t="str">
        <f>IF(H918="","",INDEX($G$8:$G$858,H918))</f>
        <v/>
      </c>
      <c r="H918" s="320" t="str">
        <f>IFERROR(MATCH(58,$L$8:$L$858,0),"")</f>
        <v/>
      </c>
    </row>
    <row r="919">
      <c r="A919" s="321" t="str">
        <f>IF(H919="","","ВАША ЗАЯВКА")</f>
        <v/>
      </c>
      <c r="B919" s="324" t="str">
        <f>IF(H919="","","59. "&amp;INDEX($B$8:$B$858,H919))</f>
        <v/>
      </c>
      <c r="C919" s="325" t="str">
        <f>IF(H919="","",INDEX($C$8:$C$858,H919))</f>
        <v/>
      </c>
      <c r="D919" s="327" t="str">
        <f>IF(H919="","",INDEX($D$8:$D$858,H919))</f>
        <v/>
      </c>
      <c r="E919" s="326" t="str">
        <f>IF(H919="","",INDEX($I$8:$I$858,H919))</f>
        <v/>
      </c>
      <c r="F919" s="328" t="str">
        <f>IF(H919="","",INDEX($F$8:$F$858,H919))</f>
        <v/>
      </c>
      <c r="G919" s="329" t="str">
        <f>IF(H919="","",INDEX($G$8:$G$858,H919))</f>
        <v/>
      </c>
      <c r="H919" s="320" t="str">
        <f>IFERROR(MATCH(59,$L$8:$L$858,0),"")</f>
        <v/>
      </c>
    </row>
    <row r="920">
      <c r="A920" s="321" t="str">
        <f>IF(H920="","","ВАША ЗАЯВКА")</f>
        <v/>
      </c>
      <c r="B920" s="324" t="str">
        <f>IF(H920="","","60. "&amp;INDEX($B$8:$B$858,H920))</f>
        <v/>
      </c>
      <c r="C920" s="325" t="str">
        <f>IF(H920="","",INDEX($C$8:$C$858,H920))</f>
        <v/>
      </c>
      <c r="D920" s="327" t="str">
        <f>IF(H920="","",INDEX($D$8:$D$858,H920))</f>
        <v/>
      </c>
      <c r="E920" s="326" t="str">
        <f>IF(H920="","",INDEX($I$8:$I$858,H920))</f>
        <v/>
      </c>
      <c r="F920" s="328" t="str">
        <f>IF(H920="","",INDEX($F$8:$F$858,H920))</f>
        <v/>
      </c>
      <c r="G920" s="329" t="str">
        <f>IF(H920="","",INDEX($G$8:$G$858,H920))</f>
        <v/>
      </c>
      <c r="H920" s="320" t="str">
        <f>IFERROR(MATCH(60,$L$8:$L$858,0),"")</f>
        <v/>
      </c>
    </row>
    <row r="921">
      <c r="A921" s="321" t="str">
        <f>IF(H921="","","ВАША ЗАЯВКА")</f>
        <v/>
      </c>
      <c r="B921" s="324" t="str">
        <f>IF(H921="","","61. "&amp;INDEX($B$8:$B$858,H921))</f>
        <v/>
      </c>
      <c r="C921" s="325" t="str">
        <f>IF(H921="","",INDEX($C$8:$C$858,H921))</f>
        <v/>
      </c>
      <c r="D921" s="327" t="str">
        <f>IF(H921="","",INDEX($D$8:$D$858,H921))</f>
        <v/>
      </c>
      <c r="E921" s="326" t="str">
        <f>IF(H921="","",INDEX($I$8:$I$858,H921))</f>
        <v/>
      </c>
      <c r="F921" s="328" t="str">
        <f>IF(H921="","",INDEX($F$8:$F$858,H921))</f>
        <v/>
      </c>
      <c r="G921" s="329" t="str">
        <f>IF(H921="","",INDEX($G$8:$G$858,H921))</f>
        <v/>
      </c>
      <c r="H921" s="320" t="str">
        <f>IFERROR(MATCH(61,$L$8:$L$858,0),"")</f>
        <v/>
      </c>
    </row>
    <row r="922">
      <c r="A922" s="321" t="str">
        <f>IF(H922="","","ВАША ЗАЯВКА")</f>
        <v/>
      </c>
      <c r="B922" s="324" t="str">
        <f>IF(H922="","","62. "&amp;INDEX($B$8:$B$858,H922))</f>
        <v/>
      </c>
      <c r="C922" s="325" t="str">
        <f>IF(H922="","",INDEX($C$8:$C$858,H922))</f>
        <v/>
      </c>
      <c r="D922" s="327" t="str">
        <f>IF(H922="","",INDEX($D$8:$D$858,H922))</f>
        <v/>
      </c>
      <c r="E922" s="326" t="str">
        <f>IF(H922="","",INDEX($I$8:$I$858,H922))</f>
        <v/>
      </c>
      <c r="F922" s="328" t="str">
        <f>IF(H922="","",INDEX($F$8:$F$858,H922))</f>
        <v/>
      </c>
      <c r="G922" s="329" t="str">
        <f>IF(H922="","",INDEX($G$8:$G$858,H922))</f>
        <v/>
      </c>
      <c r="H922" s="320" t="str">
        <f>IFERROR(MATCH(62,$L$8:$L$858,0),"")</f>
        <v/>
      </c>
    </row>
    <row r="923">
      <c r="A923" s="321" t="str">
        <f>IF(H923="","","ВАША ЗАЯВКА")</f>
        <v/>
      </c>
      <c r="B923" s="324" t="str">
        <f>IF(H923="","","63. "&amp;INDEX($B$8:$B$858,H923))</f>
        <v/>
      </c>
      <c r="C923" s="325" t="str">
        <f>IF(H923="","",INDEX($C$8:$C$858,H923))</f>
        <v/>
      </c>
      <c r="D923" s="327" t="str">
        <f>IF(H923="","",INDEX($D$8:$D$858,H923))</f>
        <v/>
      </c>
      <c r="E923" s="326" t="str">
        <f>IF(H923="","",INDEX($I$8:$I$858,H923))</f>
        <v/>
      </c>
      <c r="F923" s="328" t="str">
        <f>IF(H923="","",INDEX($F$8:$F$858,H923))</f>
        <v/>
      </c>
      <c r="G923" s="329" t="str">
        <f>IF(H923="","",INDEX($G$8:$G$858,H923))</f>
        <v/>
      </c>
      <c r="H923" s="320" t="str">
        <f>IFERROR(MATCH(63,$L$8:$L$858,0),"")</f>
        <v/>
      </c>
    </row>
    <row r="924">
      <c r="A924" s="321" t="str">
        <f>IF(H924="","","ВАША ЗАЯВКА")</f>
        <v/>
      </c>
      <c r="B924" s="324" t="str">
        <f>IF(H924="","","64. "&amp;INDEX($B$8:$B$858,H924))</f>
        <v/>
      </c>
      <c r="C924" s="325" t="str">
        <f>IF(H924="","",INDEX($C$8:$C$858,H924))</f>
        <v/>
      </c>
      <c r="D924" s="327" t="str">
        <f>IF(H924="","",INDEX($D$8:$D$858,H924))</f>
        <v/>
      </c>
      <c r="E924" s="326" t="str">
        <f>IF(H924="","",INDEX($I$8:$I$858,H924))</f>
        <v/>
      </c>
      <c r="F924" s="328" t="str">
        <f>IF(H924="","",INDEX($F$8:$F$858,H924))</f>
        <v/>
      </c>
      <c r="G924" s="329" t="str">
        <f>IF(H924="","",INDEX($G$8:$G$858,H924))</f>
        <v/>
      </c>
      <c r="H924" s="320" t="str">
        <f>IFERROR(MATCH(64,$L$8:$L$858,0),"")</f>
        <v/>
      </c>
    </row>
    <row r="925">
      <c r="A925" s="321" t="str">
        <f>IF(H925="","","ВАША ЗАЯВКА")</f>
        <v/>
      </c>
      <c r="B925" s="324" t="str">
        <f>IF(H925="","","65. "&amp;INDEX($B$8:$B$858,H925))</f>
        <v/>
      </c>
      <c r="C925" s="325" t="str">
        <f>IF(H925="","",INDEX($C$8:$C$858,H925))</f>
        <v/>
      </c>
      <c r="D925" s="327" t="str">
        <f>IF(H925="","",INDEX($D$8:$D$858,H925))</f>
        <v/>
      </c>
      <c r="E925" s="326" t="str">
        <f>IF(H925="","",INDEX($I$8:$I$858,H925))</f>
        <v/>
      </c>
      <c r="F925" s="328" t="str">
        <f>IF(H925="","",INDEX($F$8:$F$858,H925))</f>
        <v/>
      </c>
      <c r="G925" s="329" t="str">
        <f>IF(H925="","",INDEX($G$8:$G$858,H925))</f>
        <v/>
      </c>
      <c r="H925" s="320" t="str">
        <f>IFERROR(MATCH(65,$L$8:$L$858,0),"")</f>
        <v/>
      </c>
    </row>
    <row r="926">
      <c r="A926" s="321" t="str">
        <f>IF(H926="","","ВАША ЗАЯВКА")</f>
        <v/>
      </c>
      <c r="B926" s="324" t="str">
        <f>IF(H926="","","66. "&amp;INDEX($B$8:$B$858,H926))</f>
        <v/>
      </c>
      <c r="C926" s="325" t="str">
        <f>IF(H926="","",INDEX($C$8:$C$858,H926))</f>
        <v/>
      </c>
      <c r="D926" s="327" t="str">
        <f>IF(H926="","",INDEX($D$8:$D$858,H926))</f>
        <v/>
      </c>
      <c r="E926" s="326" t="str">
        <f>IF(H926="","",INDEX($I$8:$I$858,H926))</f>
        <v/>
      </c>
      <c r="F926" s="328" t="str">
        <f>IF(H926="","",INDEX($F$8:$F$858,H926))</f>
        <v/>
      </c>
      <c r="G926" s="329" t="str">
        <f>IF(H926="","",INDEX($G$8:$G$858,H926))</f>
        <v/>
      </c>
      <c r="H926" s="320" t="str">
        <f>IFERROR(MATCH(66,$L$8:$L$858,0),"")</f>
        <v/>
      </c>
    </row>
    <row r="927">
      <c r="A927" s="321" t="str">
        <f>IF(H927="","","ВАША ЗАЯВКА")</f>
        <v/>
      </c>
      <c r="B927" s="324" t="str">
        <f>IF(H927="","","67. "&amp;INDEX($B$8:$B$858,H927))</f>
        <v/>
      </c>
      <c r="C927" s="325" t="str">
        <f>IF(H927="","",INDEX($C$8:$C$858,H927))</f>
        <v/>
      </c>
      <c r="D927" s="327" t="str">
        <f>IF(H927="","",INDEX($D$8:$D$858,H927))</f>
        <v/>
      </c>
      <c r="E927" s="326" t="str">
        <f>IF(H927="","",INDEX($I$8:$I$858,H927))</f>
        <v/>
      </c>
      <c r="F927" s="328" t="str">
        <f>IF(H927="","",INDEX($F$8:$F$858,H927))</f>
        <v/>
      </c>
      <c r="G927" s="329" t="str">
        <f>IF(H927="","",INDEX($G$8:$G$858,H927))</f>
        <v/>
      </c>
      <c r="H927" s="320" t="str">
        <f>IFERROR(MATCH(67,$L$8:$L$858,0),"")</f>
        <v/>
      </c>
    </row>
    <row r="928">
      <c r="A928" s="321" t="str">
        <f>IF(H928="","","ВАША ЗАЯВКА")</f>
        <v/>
      </c>
      <c r="B928" s="324" t="str">
        <f>IF(H928="","","68. "&amp;INDEX($B$8:$B$858,H928))</f>
        <v/>
      </c>
      <c r="C928" s="325" t="str">
        <f>IF(H928="","",INDEX($C$8:$C$858,H928))</f>
        <v/>
      </c>
      <c r="D928" s="327" t="str">
        <f>IF(H928="","",INDEX($D$8:$D$858,H928))</f>
        <v/>
      </c>
      <c r="E928" s="326" t="str">
        <f>IF(H928="","",INDEX($I$8:$I$858,H928))</f>
        <v/>
      </c>
      <c r="F928" s="328" t="str">
        <f>IF(H928="","",INDEX($F$8:$F$858,H928))</f>
        <v/>
      </c>
      <c r="G928" s="329" t="str">
        <f>IF(H928="","",INDEX($G$8:$G$858,H928))</f>
        <v/>
      </c>
      <c r="H928" s="320" t="str">
        <f>IFERROR(MATCH(68,$L$8:$L$858,0),"")</f>
        <v/>
      </c>
    </row>
    <row r="929">
      <c r="A929" s="321" t="str">
        <f>IF(H929="","","ВАША ЗАЯВКА")</f>
        <v/>
      </c>
      <c r="B929" s="324" t="str">
        <f>IF(H929="","","69. "&amp;INDEX($B$8:$B$858,H929))</f>
        <v/>
      </c>
      <c r="C929" s="325" t="str">
        <f>IF(H929="","",INDEX($C$8:$C$858,H929))</f>
        <v/>
      </c>
      <c r="D929" s="327" t="str">
        <f>IF(H929="","",INDEX($D$8:$D$858,H929))</f>
        <v/>
      </c>
      <c r="E929" s="326" t="str">
        <f>IF(H929="","",INDEX($I$8:$I$858,H929))</f>
        <v/>
      </c>
      <c r="F929" s="328" t="str">
        <f>IF(H929="","",INDEX($F$8:$F$858,H929))</f>
        <v/>
      </c>
      <c r="G929" s="329" t="str">
        <f>IF(H929="","",INDEX($G$8:$G$858,H929))</f>
        <v/>
      </c>
      <c r="H929" s="320" t="str">
        <f>IFERROR(MATCH(69,$L$8:$L$858,0),"")</f>
        <v/>
      </c>
    </row>
    <row r="930">
      <c r="A930" s="321" t="str">
        <f>IF(H930="","","ВАША ЗАЯВКА")</f>
        <v/>
      </c>
      <c r="B930" s="324" t="str">
        <f>IF(H930="","","70. "&amp;INDEX($B$8:$B$858,H930))</f>
        <v/>
      </c>
      <c r="C930" s="325" t="str">
        <f>IF(H930="","",INDEX($C$8:$C$858,H930))</f>
        <v/>
      </c>
      <c r="D930" s="327" t="str">
        <f>IF(H930="","",INDEX($D$8:$D$858,H930))</f>
        <v/>
      </c>
      <c r="E930" s="326" t="str">
        <f>IF(H930="","",INDEX($I$8:$I$858,H930))</f>
        <v/>
      </c>
      <c r="F930" s="328" t="str">
        <f>IF(H930="","",INDEX($F$8:$F$858,H930))</f>
        <v/>
      </c>
      <c r="G930" s="329" t="str">
        <f>IF(H930="","",INDEX($G$8:$G$858,H930))</f>
        <v/>
      </c>
      <c r="H930" s="320" t="str">
        <f>IFERROR(MATCH(70,$L$8:$L$858,0),"")</f>
        <v/>
      </c>
    </row>
    <row r="931">
      <c r="A931" s="321" t="str">
        <f>IF(H931="","","ВАША ЗАЯВКА")</f>
        <v/>
      </c>
      <c r="B931" s="324" t="str">
        <f>IF(H931="","","71. "&amp;INDEX($B$8:$B$858,H931))</f>
        <v/>
      </c>
      <c r="C931" s="325" t="str">
        <f>IF(H931="","",INDEX($C$8:$C$858,H931))</f>
        <v/>
      </c>
      <c r="D931" s="327" t="str">
        <f>IF(H931="","",INDEX($D$8:$D$858,H931))</f>
        <v/>
      </c>
      <c r="E931" s="326" t="str">
        <f>IF(H931="","",INDEX($I$8:$I$858,H931))</f>
        <v/>
      </c>
      <c r="F931" s="328" t="str">
        <f>IF(H931="","",INDEX($F$8:$F$858,H931))</f>
        <v/>
      </c>
      <c r="G931" s="329" t="str">
        <f>IF(H931="","",INDEX($G$8:$G$858,H931))</f>
        <v/>
      </c>
      <c r="H931" s="320" t="str">
        <f>IFERROR(MATCH(71,$L$8:$L$858,0),"")</f>
        <v/>
      </c>
    </row>
    <row r="932">
      <c r="A932" s="321" t="str">
        <f>IF(H932="","","ВАША ЗАЯВКА")</f>
        <v/>
      </c>
      <c r="B932" s="324" t="str">
        <f>IF(H932="","","72. "&amp;INDEX($B$8:$B$858,H932))</f>
        <v/>
      </c>
      <c r="C932" s="325" t="str">
        <f>IF(H932="","",INDEX($C$8:$C$858,H932))</f>
        <v/>
      </c>
      <c r="D932" s="327" t="str">
        <f>IF(H932="","",INDEX($D$8:$D$858,H932))</f>
        <v/>
      </c>
      <c r="E932" s="326" t="str">
        <f>IF(H932="","",INDEX($I$8:$I$858,H932))</f>
        <v/>
      </c>
      <c r="F932" s="328" t="str">
        <f>IF(H932="","",INDEX($F$8:$F$858,H932))</f>
        <v/>
      </c>
      <c r="G932" s="329" t="str">
        <f>IF(H932="","",INDEX($G$8:$G$858,H932))</f>
        <v/>
      </c>
      <c r="H932" s="320" t="str">
        <f>IFERROR(MATCH(72,$L$8:$L$858,0),"")</f>
        <v/>
      </c>
    </row>
    <row r="933">
      <c r="A933" s="321" t="str">
        <f>IF(H933="","","ВАША ЗАЯВКА")</f>
        <v/>
      </c>
      <c r="B933" s="324" t="str">
        <f>IF(H933="","","73. "&amp;INDEX($B$8:$B$858,H933))</f>
        <v/>
      </c>
      <c r="C933" s="325" t="str">
        <f>IF(H933="","",INDEX($C$8:$C$858,H933))</f>
        <v/>
      </c>
      <c r="D933" s="327" t="str">
        <f>IF(H933="","",INDEX($D$8:$D$858,H933))</f>
        <v/>
      </c>
      <c r="E933" s="326" t="str">
        <f>IF(H933="","",INDEX($I$8:$I$858,H933))</f>
        <v/>
      </c>
      <c r="F933" s="328" t="str">
        <f>IF(H933="","",INDEX($F$8:$F$858,H933))</f>
        <v/>
      </c>
      <c r="G933" s="329" t="str">
        <f>IF(H933="","",INDEX($G$8:$G$858,H933))</f>
        <v/>
      </c>
      <c r="H933" s="320" t="str">
        <f>IFERROR(MATCH(73,$L$8:$L$858,0),"")</f>
        <v/>
      </c>
    </row>
    <row r="934">
      <c r="A934" s="321" t="str">
        <f>IF(H934="","","ВАША ЗАЯВКА")</f>
        <v/>
      </c>
      <c r="B934" s="324" t="str">
        <f>IF(H934="","","74. "&amp;INDEX($B$8:$B$858,H934))</f>
        <v/>
      </c>
      <c r="C934" s="325" t="str">
        <f>IF(H934="","",INDEX($C$8:$C$858,H934))</f>
        <v/>
      </c>
      <c r="D934" s="327" t="str">
        <f>IF(H934="","",INDEX($D$8:$D$858,H934))</f>
        <v/>
      </c>
      <c r="E934" s="326" t="str">
        <f>IF(H934="","",INDEX($I$8:$I$858,H934))</f>
        <v/>
      </c>
      <c r="F934" s="328" t="str">
        <f>IF(H934="","",INDEX($F$8:$F$858,H934))</f>
        <v/>
      </c>
      <c r="G934" s="329" t="str">
        <f>IF(H934="","",INDEX($G$8:$G$858,H934))</f>
        <v/>
      </c>
      <c r="H934" s="320" t="str">
        <f>IFERROR(MATCH(74,$L$8:$L$858,0),"")</f>
        <v/>
      </c>
    </row>
    <row r="935">
      <c r="A935" s="321" t="str">
        <f>IF(H935="","","ВАША ЗАЯВКА")</f>
        <v/>
      </c>
      <c r="B935" s="324" t="str">
        <f>IF(H935="","","75. "&amp;INDEX($B$8:$B$858,H935))</f>
        <v/>
      </c>
      <c r="C935" s="325" t="str">
        <f>IF(H935="","",INDEX($C$8:$C$858,H935))</f>
        <v/>
      </c>
      <c r="D935" s="327" t="str">
        <f>IF(H935="","",INDEX($D$8:$D$858,H935))</f>
        <v/>
      </c>
      <c r="E935" s="326" t="str">
        <f>IF(H935="","",INDEX($I$8:$I$858,H935))</f>
        <v/>
      </c>
      <c r="F935" s="328" t="str">
        <f>IF(H935="","",INDEX($F$8:$F$858,H935))</f>
        <v/>
      </c>
      <c r="G935" s="329" t="str">
        <f>IF(H935="","",INDEX($G$8:$G$858,H935))</f>
        <v/>
      </c>
      <c r="H935" s="320" t="str">
        <f>IFERROR(MATCH(75,$L$8:$L$858,0),"")</f>
        <v/>
      </c>
    </row>
    <row r="936">
      <c r="A936" s="321" t="str">
        <f>IF(H936="","","ВАША ЗАЯВКА")</f>
        <v/>
      </c>
      <c r="B936" s="324" t="str">
        <f>IF(H936="","","76. "&amp;INDEX($B$8:$B$858,H936))</f>
        <v/>
      </c>
      <c r="C936" s="325" t="str">
        <f>IF(H936="","",INDEX($C$8:$C$858,H936))</f>
        <v/>
      </c>
      <c r="D936" s="327" t="str">
        <f>IF(H936="","",INDEX($D$8:$D$858,H936))</f>
        <v/>
      </c>
      <c r="E936" s="326" t="str">
        <f>IF(H936="","",INDEX($I$8:$I$858,H936))</f>
        <v/>
      </c>
      <c r="F936" s="328" t="str">
        <f>IF(H936="","",INDEX($F$8:$F$858,H936))</f>
        <v/>
      </c>
      <c r="G936" s="329" t="str">
        <f>IF(H936="","",INDEX($G$8:$G$858,H936))</f>
        <v/>
      </c>
      <c r="H936" s="320" t="str">
        <f>IFERROR(MATCH(76,$L$8:$L$858,0),"")</f>
        <v/>
      </c>
    </row>
    <row r="937">
      <c r="A937" s="321" t="str">
        <f>IF(H937="","","ВАША ЗАЯВКА")</f>
        <v/>
      </c>
      <c r="B937" s="324" t="str">
        <f>IF(H937="","","77. "&amp;INDEX($B$8:$B$858,H937))</f>
        <v/>
      </c>
      <c r="C937" s="325" t="str">
        <f>IF(H937="","",INDEX($C$8:$C$858,H937))</f>
        <v/>
      </c>
      <c r="D937" s="327" t="str">
        <f>IF(H937="","",INDEX($D$8:$D$858,H937))</f>
        <v/>
      </c>
      <c r="E937" s="326" t="str">
        <f>IF(H937="","",INDEX($I$8:$I$858,H937))</f>
        <v/>
      </c>
      <c r="F937" s="328" t="str">
        <f>IF(H937="","",INDEX($F$8:$F$858,H937))</f>
        <v/>
      </c>
      <c r="G937" s="329" t="str">
        <f>IF(H937="","",INDEX($G$8:$G$858,H937))</f>
        <v/>
      </c>
      <c r="H937" s="320" t="str">
        <f>IFERROR(MATCH(77,$L$8:$L$858,0),"")</f>
        <v/>
      </c>
    </row>
    <row r="938">
      <c r="A938" s="321" t="str">
        <f>IF(H938="","","ВАША ЗАЯВКА")</f>
        <v/>
      </c>
      <c r="B938" s="324" t="str">
        <f>IF(H938="","","78. "&amp;INDEX($B$8:$B$858,H938))</f>
        <v/>
      </c>
      <c r="C938" s="325" t="str">
        <f>IF(H938="","",INDEX($C$8:$C$858,H938))</f>
        <v/>
      </c>
      <c r="D938" s="327" t="str">
        <f>IF(H938="","",INDEX($D$8:$D$858,H938))</f>
        <v/>
      </c>
      <c r="E938" s="326" t="str">
        <f>IF(H938="","",INDEX($I$8:$I$858,H938))</f>
        <v/>
      </c>
      <c r="F938" s="328" t="str">
        <f>IF(H938="","",INDEX($F$8:$F$858,H938))</f>
        <v/>
      </c>
      <c r="G938" s="329" t="str">
        <f>IF(H938="","",INDEX($G$8:$G$858,H938))</f>
        <v/>
      </c>
      <c r="H938" s="320" t="str">
        <f>IFERROR(MATCH(78,$L$8:$L$858,0),"")</f>
        <v/>
      </c>
    </row>
    <row r="939">
      <c r="A939" s="321" t="str">
        <f>IF(H939="","","ВАША ЗАЯВКА")</f>
        <v/>
      </c>
      <c r="B939" s="324" t="str">
        <f>IF(H939="","","79. "&amp;INDEX($B$8:$B$858,H939))</f>
        <v/>
      </c>
      <c r="C939" s="325" t="str">
        <f>IF(H939="","",INDEX($C$8:$C$858,H939))</f>
        <v/>
      </c>
      <c r="D939" s="327" t="str">
        <f>IF(H939="","",INDEX($D$8:$D$858,H939))</f>
        <v/>
      </c>
      <c r="E939" s="326" t="str">
        <f>IF(H939="","",INDEX($I$8:$I$858,H939))</f>
        <v/>
      </c>
      <c r="F939" s="328" t="str">
        <f>IF(H939="","",INDEX($F$8:$F$858,H939))</f>
        <v/>
      </c>
      <c r="G939" s="329" t="str">
        <f>IF(H939="","",INDEX($G$8:$G$858,H939))</f>
        <v/>
      </c>
      <c r="H939" s="320" t="str">
        <f>IFERROR(MATCH(79,$L$8:$L$858,0),"")</f>
        <v/>
      </c>
    </row>
    <row r="940">
      <c r="A940" s="321" t="str">
        <f>IF(H940="","","ВАША ЗАЯВКА")</f>
        <v/>
      </c>
      <c r="B940" s="324" t="str">
        <f>IF(H940="","","80. "&amp;INDEX($B$8:$B$858,H940))</f>
        <v/>
      </c>
      <c r="C940" s="325" t="str">
        <f>IF(H940="","",INDEX($C$8:$C$858,H940))</f>
        <v/>
      </c>
      <c r="D940" s="327" t="str">
        <f>IF(H940="","",INDEX($D$8:$D$858,H940))</f>
        <v/>
      </c>
      <c r="E940" s="326" t="str">
        <f>IF(H940="","",INDEX($I$8:$I$858,H940))</f>
        <v/>
      </c>
      <c r="F940" s="328" t="str">
        <f>IF(H940="","",INDEX($F$8:$F$858,H940))</f>
        <v/>
      </c>
      <c r="G940" s="329" t="str">
        <f>IF(H940="","",INDEX($G$8:$G$858,H940))</f>
        <v/>
      </c>
      <c r="H940" s="320" t="str">
        <f>IFERROR(MATCH(80,$L$8:$L$858,0),"")</f>
        <v/>
      </c>
    </row>
    <row r="941">
      <c r="A941" s="321" t="str">
        <f>IF(H941="","","ВАША ЗАЯВКА")</f>
        <v/>
      </c>
      <c r="B941" s="324" t="str">
        <f>IF(H941="","","81. "&amp;INDEX($B$8:$B$858,H941))</f>
        <v/>
      </c>
      <c r="C941" s="325" t="str">
        <f>IF(H941="","",INDEX($C$8:$C$858,H941))</f>
        <v/>
      </c>
      <c r="D941" s="327" t="str">
        <f>IF(H941="","",INDEX($D$8:$D$858,H941))</f>
        <v/>
      </c>
      <c r="E941" s="326" t="str">
        <f>IF(H941="","",INDEX($I$8:$I$858,H941))</f>
        <v/>
      </c>
      <c r="F941" s="328" t="str">
        <f>IF(H941="","",INDEX($F$8:$F$858,H941))</f>
        <v/>
      </c>
      <c r="G941" s="329" t="str">
        <f>IF(H941="","",INDEX($G$8:$G$858,H941))</f>
        <v/>
      </c>
      <c r="H941" s="320" t="str">
        <f>IFERROR(MATCH(81,$L$8:$L$858,0),"")</f>
        <v/>
      </c>
    </row>
    <row r="942">
      <c r="A942" s="321" t="str">
        <f>IF(H942="","","ВАША ЗАЯВКА")</f>
        <v/>
      </c>
      <c r="B942" s="324" t="str">
        <f>IF(H942="","","82. "&amp;INDEX($B$8:$B$858,H942))</f>
        <v/>
      </c>
      <c r="C942" s="325" t="str">
        <f>IF(H942="","",INDEX($C$8:$C$858,H942))</f>
        <v/>
      </c>
      <c r="D942" s="327" t="str">
        <f>IF(H942="","",INDEX($D$8:$D$858,H942))</f>
        <v/>
      </c>
      <c r="E942" s="326" t="str">
        <f>IF(H942="","",INDEX($I$8:$I$858,H942))</f>
        <v/>
      </c>
      <c r="F942" s="328" t="str">
        <f>IF(H942="","",INDEX($F$8:$F$858,H942))</f>
        <v/>
      </c>
      <c r="G942" s="329" t="str">
        <f>IF(H942="","",INDEX($G$8:$G$858,H942))</f>
        <v/>
      </c>
      <c r="H942" s="320" t="str">
        <f>IFERROR(MATCH(82,$L$8:$L$858,0),"")</f>
        <v/>
      </c>
    </row>
    <row r="943">
      <c r="A943" s="321" t="str">
        <f>IF(H943="","","ВАША ЗАЯВКА")</f>
        <v/>
      </c>
      <c r="B943" s="324" t="str">
        <f>IF(H943="","","83. "&amp;INDEX($B$8:$B$858,H943))</f>
        <v/>
      </c>
      <c r="C943" s="325" t="str">
        <f>IF(H943="","",INDEX($C$8:$C$858,H943))</f>
        <v/>
      </c>
      <c r="D943" s="327" t="str">
        <f>IF(H943="","",INDEX($D$8:$D$858,H943))</f>
        <v/>
      </c>
      <c r="E943" s="326" t="str">
        <f>IF(H943="","",INDEX($I$8:$I$858,H943))</f>
        <v/>
      </c>
      <c r="F943" s="328" t="str">
        <f>IF(H943="","",INDEX($F$8:$F$858,H943))</f>
        <v/>
      </c>
      <c r="G943" s="329" t="str">
        <f>IF(H943="","",INDEX($G$8:$G$858,H943))</f>
        <v/>
      </c>
      <c r="H943" s="320" t="str">
        <f>IFERROR(MATCH(83,$L$8:$L$858,0),"")</f>
        <v/>
      </c>
    </row>
    <row r="944">
      <c r="A944" s="321" t="str">
        <f>IF(H944="","","ВАША ЗАЯВКА")</f>
        <v/>
      </c>
      <c r="B944" s="324" t="str">
        <f>IF(H944="","","84. "&amp;INDEX($B$8:$B$858,H944))</f>
        <v/>
      </c>
      <c r="C944" s="325" t="str">
        <f>IF(H944="","",INDEX($C$8:$C$858,H944))</f>
        <v/>
      </c>
      <c r="D944" s="327" t="str">
        <f>IF(H944="","",INDEX($D$8:$D$858,H944))</f>
        <v/>
      </c>
      <c r="E944" s="326" t="str">
        <f>IF(H944="","",INDEX($I$8:$I$858,H944))</f>
        <v/>
      </c>
      <c r="F944" s="328" t="str">
        <f>IF(H944="","",INDEX($F$8:$F$858,H944))</f>
        <v/>
      </c>
      <c r="G944" s="329" t="str">
        <f>IF(H944="","",INDEX($G$8:$G$858,H944))</f>
        <v/>
      </c>
      <c r="H944" s="320" t="str">
        <f>IFERROR(MATCH(84,$L$8:$L$858,0),"")</f>
        <v/>
      </c>
    </row>
    <row r="945">
      <c r="A945" s="321" t="str">
        <f>IF(H945="","","ВАША ЗАЯВКА")</f>
        <v/>
      </c>
      <c r="B945" s="324" t="str">
        <f>IF(H945="","","85. "&amp;INDEX($B$8:$B$858,H945))</f>
        <v/>
      </c>
      <c r="C945" s="325" t="str">
        <f>IF(H945="","",INDEX($C$8:$C$858,H945))</f>
        <v/>
      </c>
      <c r="D945" s="327" t="str">
        <f>IF(H945="","",INDEX($D$8:$D$858,H945))</f>
        <v/>
      </c>
      <c r="E945" s="326" t="str">
        <f>IF(H945="","",INDEX($I$8:$I$858,H945))</f>
        <v/>
      </c>
      <c r="F945" s="328" t="str">
        <f>IF(H945="","",INDEX($F$8:$F$858,H945))</f>
        <v/>
      </c>
      <c r="G945" s="329" t="str">
        <f>IF(H945="","",INDEX($G$8:$G$858,H945))</f>
        <v/>
      </c>
      <c r="H945" s="320" t="str">
        <f>IFERROR(MATCH(85,$L$8:$L$858,0),"")</f>
        <v/>
      </c>
    </row>
    <row r="946">
      <c r="A946" s="321" t="str">
        <f>IF(H946="","","ВАША ЗАЯВКА")</f>
        <v/>
      </c>
      <c r="B946" s="324" t="str">
        <f>IF(H946="","","86. "&amp;INDEX($B$8:$B$858,H946))</f>
        <v/>
      </c>
      <c r="C946" s="325" t="str">
        <f>IF(H946="","",INDEX($C$8:$C$858,H946))</f>
        <v/>
      </c>
      <c r="D946" s="327" t="str">
        <f>IF(H946="","",INDEX($D$8:$D$858,H946))</f>
        <v/>
      </c>
      <c r="E946" s="326" t="str">
        <f>IF(H946="","",INDEX($I$8:$I$858,H946))</f>
        <v/>
      </c>
      <c r="F946" s="328" t="str">
        <f>IF(H946="","",INDEX($F$8:$F$858,H946))</f>
        <v/>
      </c>
      <c r="G946" s="329" t="str">
        <f>IF(H946="","",INDEX($G$8:$G$858,H946))</f>
        <v/>
      </c>
      <c r="H946" s="320" t="str">
        <f>IFERROR(MATCH(86,$L$8:$L$858,0),"")</f>
        <v/>
      </c>
    </row>
    <row r="947">
      <c r="A947" s="321" t="str">
        <f>IF(H947="","","ВАША ЗАЯВКА")</f>
        <v/>
      </c>
      <c r="B947" s="324" t="str">
        <f>IF(H947="","","87. "&amp;INDEX($B$8:$B$858,H947))</f>
        <v/>
      </c>
      <c r="C947" s="325" t="str">
        <f>IF(H947="","",INDEX($C$8:$C$858,H947))</f>
        <v/>
      </c>
      <c r="D947" s="327" t="str">
        <f>IF(H947="","",INDEX($D$8:$D$858,H947))</f>
        <v/>
      </c>
      <c r="E947" s="326" t="str">
        <f>IF(H947="","",INDEX($I$8:$I$858,H947))</f>
        <v/>
      </c>
      <c r="F947" s="328" t="str">
        <f>IF(H947="","",INDEX($F$8:$F$858,H947))</f>
        <v/>
      </c>
      <c r="G947" s="329" t="str">
        <f>IF(H947="","",INDEX($G$8:$G$858,H947))</f>
        <v/>
      </c>
      <c r="H947" s="320" t="str">
        <f>IFERROR(MATCH(87,$L$8:$L$858,0),"")</f>
        <v/>
      </c>
    </row>
    <row r="948">
      <c r="A948" s="321" t="str">
        <f>IF(H948="","","ВАША ЗАЯВКА")</f>
        <v/>
      </c>
      <c r="B948" s="324" t="str">
        <f>IF(H948="","","88. "&amp;INDEX($B$8:$B$858,H948))</f>
        <v/>
      </c>
      <c r="C948" s="325" t="str">
        <f>IF(H948="","",INDEX($C$8:$C$858,H948))</f>
        <v/>
      </c>
      <c r="D948" s="327" t="str">
        <f>IF(H948="","",INDEX($D$8:$D$858,H948))</f>
        <v/>
      </c>
      <c r="E948" s="326" t="str">
        <f>IF(H948="","",INDEX($I$8:$I$858,H948))</f>
        <v/>
      </c>
      <c r="F948" s="328" t="str">
        <f>IF(H948="","",INDEX($F$8:$F$858,H948))</f>
        <v/>
      </c>
      <c r="G948" s="329" t="str">
        <f>IF(H948="","",INDEX($G$8:$G$858,H948))</f>
        <v/>
      </c>
      <c r="H948" s="320" t="str">
        <f>IFERROR(MATCH(88,$L$8:$L$858,0),"")</f>
        <v/>
      </c>
    </row>
    <row r="949">
      <c r="A949" s="321" t="str">
        <f>IF(H949="","","ВАША ЗАЯВКА")</f>
        <v/>
      </c>
      <c r="B949" s="324" t="str">
        <f>IF(H949="","","89. "&amp;INDEX($B$8:$B$858,H949))</f>
        <v/>
      </c>
      <c r="C949" s="325" t="str">
        <f>IF(H949="","",INDEX($C$8:$C$858,H949))</f>
        <v/>
      </c>
      <c r="D949" s="327" t="str">
        <f>IF(H949="","",INDEX($D$8:$D$858,H949))</f>
        <v/>
      </c>
      <c r="E949" s="326" t="str">
        <f>IF(H949="","",INDEX($I$8:$I$858,H949))</f>
        <v/>
      </c>
      <c r="F949" s="328" t="str">
        <f>IF(H949="","",INDEX($F$8:$F$858,H949))</f>
        <v/>
      </c>
      <c r="G949" s="329" t="str">
        <f>IF(H949="","",INDEX($G$8:$G$858,H949))</f>
        <v/>
      </c>
      <c r="H949" s="320" t="str">
        <f>IFERROR(MATCH(89,$L$8:$L$858,0),"")</f>
        <v/>
      </c>
    </row>
    <row r="950">
      <c r="A950" s="321" t="str">
        <f>IF(H950="","","ВАША ЗАЯВКА")</f>
        <v/>
      </c>
      <c r="B950" s="324" t="str">
        <f>IF(H950="","","90. "&amp;INDEX($B$8:$B$858,H950))</f>
        <v/>
      </c>
      <c r="C950" s="325" t="str">
        <f>IF(H950="","",INDEX($C$8:$C$858,H950))</f>
        <v/>
      </c>
      <c r="D950" s="327" t="str">
        <f>IF(H950="","",INDEX($D$8:$D$858,H950))</f>
        <v/>
      </c>
      <c r="E950" s="326" t="str">
        <f>IF(H950="","",INDEX($I$8:$I$858,H950))</f>
        <v/>
      </c>
      <c r="F950" s="328" t="str">
        <f>IF(H950="","",INDEX($F$8:$F$858,H950))</f>
        <v/>
      </c>
      <c r="G950" s="329" t="str">
        <f>IF(H950="","",INDEX($G$8:$G$858,H950))</f>
        <v/>
      </c>
      <c r="H950" s="320" t="str">
        <f>IFERROR(MATCH(90,$L$8:$L$858,0),"")</f>
        <v/>
      </c>
    </row>
    <row r="951">
      <c r="A951" s="321" t="str">
        <f>IF(H951="","","ВАША ЗАЯВКА")</f>
        <v/>
      </c>
      <c r="B951" s="324" t="str">
        <f>IF(H951="","","91. "&amp;INDEX($B$8:$B$858,H951))</f>
        <v/>
      </c>
      <c r="C951" s="325" t="str">
        <f>IF(H951="","",INDEX($C$8:$C$858,H951))</f>
        <v/>
      </c>
      <c r="D951" s="327" t="str">
        <f>IF(H951="","",INDEX($D$8:$D$858,H951))</f>
        <v/>
      </c>
      <c r="E951" s="326" t="str">
        <f>IF(H951="","",INDEX($I$8:$I$858,H951))</f>
        <v/>
      </c>
      <c r="F951" s="328" t="str">
        <f>IF(H951="","",INDEX($F$8:$F$858,H951))</f>
        <v/>
      </c>
      <c r="G951" s="329" t="str">
        <f>IF(H951="","",INDEX($G$8:$G$858,H951))</f>
        <v/>
      </c>
      <c r="H951" s="320" t="str">
        <f>IFERROR(MATCH(91,$L$8:$L$858,0),"")</f>
        <v/>
      </c>
    </row>
    <row r="952">
      <c r="A952" s="321" t="str">
        <f>IF(H952="","","ВАША ЗАЯВКА")</f>
        <v/>
      </c>
      <c r="B952" s="324" t="str">
        <f>IF(H952="","","92. "&amp;INDEX($B$8:$B$858,H952))</f>
        <v/>
      </c>
      <c r="C952" s="325" t="str">
        <f>IF(H952="","",INDEX($C$8:$C$858,H952))</f>
        <v/>
      </c>
      <c r="D952" s="327" t="str">
        <f>IF(H952="","",INDEX($D$8:$D$858,H952))</f>
        <v/>
      </c>
      <c r="E952" s="326" t="str">
        <f>IF(H952="","",INDEX($I$8:$I$858,H952))</f>
        <v/>
      </c>
      <c r="F952" s="328" t="str">
        <f>IF(H952="","",INDEX($F$8:$F$858,H952))</f>
        <v/>
      </c>
      <c r="G952" s="329" t="str">
        <f>IF(H952="","",INDEX($G$8:$G$858,H952))</f>
        <v/>
      </c>
      <c r="H952" s="320" t="str">
        <f>IFERROR(MATCH(92,$L$8:$L$858,0),"")</f>
        <v/>
      </c>
    </row>
    <row r="953">
      <c r="A953" s="321" t="str">
        <f>IF(H953="","","ВАША ЗАЯВКА")</f>
        <v/>
      </c>
      <c r="B953" s="324" t="str">
        <f>IF(H953="","","93. "&amp;INDEX($B$8:$B$858,H953))</f>
        <v/>
      </c>
      <c r="C953" s="325" t="str">
        <f>IF(H953="","",INDEX($C$8:$C$858,H953))</f>
        <v/>
      </c>
      <c r="D953" s="327" t="str">
        <f>IF(H953="","",INDEX($D$8:$D$858,H953))</f>
        <v/>
      </c>
      <c r="E953" s="326" t="str">
        <f>IF(H953="","",INDEX($I$8:$I$858,H953))</f>
        <v/>
      </c>
      <c r="F953" s="328" t="str">
        <f>IF(H953="","",INDEX($F$8:$F$858,H953))</f>
        <v/>
      </c>
      <c r="G953" s="329" t="str">
        <f>IF(H953="","",INDEX($G$8:$G$858,H953))</f>
        <v/>
      </c>
      <c r="H953" s="320" t="str">
        <f>IFERROR(MATCH(93,$L$8:$L$858,0),"")</f>
        <v/>
      </c>
    </row>
    <row r="954">
      <c r="A954" s="321" t="str">
        <f>IF(H954="","","ВАША ЗАЯВКА")</f>
        <v/>
      </c>
      <c r="B954" s="324" t="str">
        <f>IF(H954="","","94. "&amp;INDEX($B$8:$B$858,H954))</f>
        <v/>
      </c>
      <c r="C954" s="325" t="str">
        <f>IF(H954="","",INDEX($C$8:$C$858,H954))</f>
        <v/>
      </c>
      <c r="D954" s="327" t="str">
        <f>IF(H954="","",INDEX($D$8:$D$858,H954))</f>
        <v/>
      </c>
      <c r="E954" s="326" t="str">
        <f>IF(H954="","",INDEX($I$8:$I$858,H954))</f>
        <v/>
      </c>
      <c r="F954" s="328" t="str">
        <f>IF(H954="","",INDEX($F$8:$F$858,H954))</f>
        <v/>
      </c>
      <c r="G954" s="329" t="str">
        <f>IF(H954="","",INDEX($G$8:$G$858,H954))</f>
        <v/>
      </c>
      <c r="H954" s="320" t="str">
        <f>IFERROR(MATCH(94,$L$8:$L$858,0),"")</f>
        <v/>
      </c>
    </row>
    <row r="955">
      <c r="A955" s="321" t="str">
        <f>IF(H955="","","ВАША ЗАЯВКА")</f>
        <v/>
      </c>
      <c r="B955" s="324" t="str">
        <f>IF(H955="","","95. "&amp;INDEX($B$8:$B$858,H955))</f>
        <v/>
      </c>
      <c r="C955" s="325" t="str">
        <f>IF(H955="","",INDEX($C$8:$C$858,H955))</f>
        <v/>
      </c>
      <c r="D955" s="327" t="str">
        <f>IF(H955="","",INDEX($D$8:$D$858,H955))</f>
        <v/>
      </c>
      <c r="E955" s="326" t="str">
        <f>IF(H955="","",INDEX($I$8:$I$858,H955))</f>
        <v/>
      </c>
      <c r="F955" s="328" t="str">
        <f>IF(H955="","",INDEX($F$8:$F$858,H955))</f>
        <v/>
      </c>
      <c r="G955" s="329" t="str">
        <f>IF(H955="","",INDEX($G$8:$G$858,H955))</f>
        <v/>
      </c>
      <c r="H955" s="320" t="str">
        <f>IFERROR(MATCH(95,$L$8:$L$858,0),"")</f>
        <v/>
      </c>
    </row>
    <row r="956">
      <c r="A956" s="321" t="str">
        <f>IF(H956="","","ВАША ЗАЯВКА")</f>
        <v/>
      </c>
      <c r="B956" s="324" t="str">
        <f>IF(H956="","","96. "&amp;INDEX($B$8:$B$858,H956))</f>
        <v/>
      </c>
      <c r="C956" s="325" t="str">
        <f>IF(H956="","",INDEX($C$8:$C$858,H956))</f>
        <v/>
      </c>
      <c r="D956" s="327" t="str">
        <f>IF(H956="","",INDEX($D$8:$D$858,H956))</f>
        <v/>
      </c>
      <c r="E956" s="326" t="str">
        <f>IF(H956="","",INDEX($I$8:$I$858,H956))</f>
        <v/>
      </c>
      <c r="F956" s="328" t="str">
        <f>IF(H956="","",INDEX($F$8:$F$858,H956))</f>
        <v/>
      </c>
      <c r="G956" s="329" t="str">
        <f>IF(H956="","",INDEX($G$8:$G$858,H956))</f>
        <v/>
      </c>
      <c r="H956" s="320" t="str">
        <f>IFERROR(MATCH(96,$L$8:$L$858,0),"")</f>
        <v/>
      </c>
    </row>
    <row r="957">
      <c r="A957" s="321" t="str">
        <f>IF(H957="","","ВАША ЗАЯВКА")</f>
        <v/>
      </c>
      <c r="B957" s="324" t="str">
        <f>IF(H957="","","97. "&amp;INDEX($B$8:$B$858,H957))</f>
        <v/>
      </c>
      <c r="C957" s="325" t="str">
        <f>IF(H957="","",INDEX($C$8:$C$858,H957))</f>
        <v/>
      </c>
      <c r="D957" s="327" t="str">
        <f>IF(H957="","",INDEX($D$8:$D$858,H957))</f>
        <v/>
      </c>
      <c r="E957" s="326" t="str">
        <f>IF(H957="","",INDEX($I$8:$I$858,H957))</f>
        <v/>
      </c>
      <c r="F957" s="328" t="str">
        <f>IF(H957="","",INDEX($F$8:$F$858,H957))</f>
        <v/>
      </c>
      <c r="G957" s="329" t="str">
        <f>IF(H957="","",INDEX($G$8:$G$858,H957))</f>
        <v/>
      </c>
      <c r="H957" s="320" t="str">
        <f>IFERROR(MATCH(97,$L$8:$L$858,0),"")</f>
        <v/>
      </c>
    </row>
    <row r="958">
      <c r="A958" s="321" t="str">
        <f>IF(H958="","","ВАША ЗАЯВКА")</f>
        <v/>
      </c>
      <c r="B958" s="324" t="str">
        <f>IF(H958="","","98. "&amp;INDEX($B$8:$B$858,H958))</f>
        <v/>
      </c>
      <c r="C958" s="325" t="str">
        <f>IF(H958="","",INDEX($C$8:$C$858,H958))</f>
        <v/>
      </c>
      <c r="D958" s="327" t="str">
        <f>IF(H958="","",INDEX($D$8:$D$858,H958))</f>
        <v/>
      </c>
      <c r="E958" s="326" t="str">
        <f>IF(H958="","",INDEX($I$8:$I$858,H958))</f>
        <v/>
      </c>
      <c r="F958" s="328" t="str">
        <f>IF(H958="","",INDEX($F$8:$F$858,H958))</f>
        <v/>
      </c>
      <c r="G958" s="329" t="str">
        <f>IF(H958="","",INDEX($G$8:$G$858,H958))</f>
        <v/>
      </c>
      <c r="H958" s="320" t="str">
        <f>IFERROR(MATCH(98,$L$8:$L$858,0),"")</f>
        <v/>
      </c>
    </row>
    <row r="959">
      <c r="A959" s="321" t="str">
        <f>IF(H959="","","ВАША ЗАЯВКА")</f>
        <v/>
      </c>
      <c r="B959" s="324" t="str">
        <f>IF(H959="","","99. "&amp;INDEX($B$8:$B$858,H959))</f>
        <v/>
      </c>
      <c r="C959" s="325" t="str">
        <f>IF(H959="","",INDEX($C$8:$C$858,H959))</f>
        <v/>
      </c>
      <c r="D959" s="327" t="str">
        <f>IF(H959="","",INDEX($D$8:$D$858,H959))</f>
        <v/>
      </c>
      <c r="E959" s="326" t="str">
        <f>IF(H959="","",INDEX($I$8:$I$858,H959))</f>
        <v/>
      </c>
      <c r="F959" s="328" t="str">
        <f>IF(H959="","",INDEX($F$8:$F$858,H959))</f>
        <v/>
      </c>
      <c r="G959" s="329" t="str">
        <f>IF(H959="","",INDEX($G$8:$G$858,H959))</f>
        <v/>
      </c>
      <c r="H959" s="320" t="str">
        <f>IFERROR(MATCH(99,$L$8:$L$858,0),"")</f>
        <v/>
      </c>
    </row>
    <row r="960">
      <c r="A960" s="321" t="str">
        <f>IF(H960="","","ВАША ЗАЯВКА")</f>
        <v/>
      </c>
      <c r="B960" s="324" t="str">
        <f>IF(H960="","","100. "&amp;INDEX($B$8:$B$858,H960))</f>
        <v/>
      </c>
      <c r="C960" s="325" t="str">
        <f>IF(H960="","",INDEX($C$8:$C$858,H960))</f>
        <v/>
      </c>
      <c r="D960" s="327" t="str">
        <f>IF(H960="","",INDEX($D$8:$D$858,H960))</f>
        <v/>
      </c>
      <c r="E960" s="326" t="str">
        <f>IF(H960="","",INDEX($I$8:$I$858,H960))</f>
        <v/>
      </c>
      <c r="F960" s="328" t="str">
        <f>IF(H960="","",INDEX($F$8:$F$858,H960))</f>
        <v/>
      </c>
      <c r="G960" s="329" t="str">
        <f>IF(H960="","",INDEX($G$8:$G$858,H960))</f>
        <v/>
      </c>
      <c r="H960" s="320" t="str">
        <f>IFERROR(MATCH(100,$L$8:$L$858,0),"")</f>
        <v/>
      </c>
    </row>
    <row r="961">
      <c r="A961" s="321" t="str">
        <f>IF($L$5&gt;100,"ВАША ЗАЯВКА","")</f>
        <v/>
      </c>
      <c r="C961" s="330" t="str">
        <f>IF($L$5&gt;100,"… и ещё "&amp;($L$5-100)&amp;" поз., они подсвечены в списке выше","")</f>
        <v/>
      </c>
    </row>
  </sheetData>
  <autoFilter ref="A7:A961"/>
  <conditionalFormatting sqref="D8:D858">
    <cfRule type="expression" dxfId="295" priority="1">
      <formula>AND(N($I8)&gt;0,D8="нет")</formula>
    </cfRule>
  </conditionalFormatting>
  <conditionalFormatting sqref="F8:G858">
    <cfRule type="expression" dxfId="296" priority="2">
      <formula>AND(N($I8)&gt;0,F8="по запросу")</formula>
    </cfRule>
  </conditionalFormatting>
  <conditionalFormatting sqref="B8:G858">
    <cfRule type="expression" dxfId="290" priority="9">
      <formula>N($I8)&gt;0</formula>
    </cfRule>
  </conditionalFormatting>
  <conditionalFormatting sqref="D861:D960">
    <cfRule type="cellIs" dxfId="293" priority="4" operator="equal">
      <formula>"нет"</formula>
    </cfRule>
  </conditionalFormatting>
  <conditionalFormatting sqref="F861:G960">
    <cfRule type="cellIs" dxfId="294" priority="5" operator="equal">
      <formula>"по запросу"</formula>
    </cfRule>
  </conditionalFormatting>
  <conditionalFormatting sqref="A861:G960">
    <cfRule type="expression" dxfId="292" priority="6">
      <formula>$H861&lt;&gt;""</formula>
    </cfRule>
  </conditionalFormatting>
  <conditionalFormatting sqref="D8:D858">
    <cfRule type="cellIs" dxfId="289" priority="7" operator="equal">
      <formula>"нет"</formula>
    </cfRule>
  </conditionalFormatting>
  <conditionalFormatting sqref="F8:G858">
    <cfRule type="cellIs" dxfId="291" priority="8" operator="equal">
      <formula>"по запросу"</formula>
    </cfRule>
  </conditionalFormatting>
  <dataValidations count="1">
    <dataValidation type="decimal" operator="greaterThanOrEqual" allowBlank="1" showErrorMessage="1" errorTitle="Кол-во" error="Введите число больше нуля" sqref="E8:E858">
      <formula1>0</formula1>
    </dataValidation>
  </dataValidations>
  <pageMargins left="0.4" right="0.4" top="0.5" bottom="0.5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12</vt:i4>
      </vt:variant>
    </vt:vector>
  </HeadingPairs>
  <TitlesOfParts>
    <vt:vector size="30" baseType="lpstr">
      <vt:lpstr>Главная</vt:lpstr>
      <vt:lpstr>Изолента</vt:lpstr>
      <vt:lpstr>Изолента цвета</vt:lpstr>
      <vt:lpstr>ПРОМО</vt:lpstr>
      <vt:lpstr>Провода</vt:lpstr>
      <vt:lpstr>Провода цвета</vt:lpstr>
      <vt:lpstr>Реле</vt:lpstr>
      <vt:lpstr>Концевики</vt:lpstr>
      <vt:lpstr>Предохранители</vt:lpstr>
      <vt:lpstr>Тюбинг</vt:lpstr>
      <vt:lpstr>Клеммы</vt:lpstr>
      <vt:lpstr>Коннекторы</vt:lpstr>
      <vt:lpstr>Стяжки</vt:lpstr>
      <vt:lpstr>Термотрубка</vt:lpstr>
      <vt:lpstr>ДОП</vt:lpstr>
      <vt:lpstr>Защитные покрытия</vt:lpstr>
      <vt:lpstr>Мобильные аксессуары</vt:lpstr>
      <vt:lpstr>Тонировочный инструмент</vt:lpstr>
      <vt:lpstr>Коннекторы!Заголовки_для_печати</vt:lpstr>
      <vt:lpstr>ДОП!Область_печати</vt:lpstr>
      <vt:lpstr>Изолента!Область_печати</vt:lpstr>
      <vt:lpstr>Клеммы!Область_печати</vt:lpstr>
      <vt:lpstr>Коннекторы!Область_печати</vt:lpstr>
      <vt:lpstr>Концевики!Область_печати</vt:lpstr>
      <vt:lpstr>Предохранители!Область_печати</vt:lpstr>
      <vt:lpstr>Провода!Область_печати</vt:lpstr>
      <vt:lpstr>Реле!Область_печати</vt:lpstr>
      <vt:lpstr>Стяжки!Область_печати</vt:lpstr>
      <vt:lpstr>Термотрубка!Область_печати</vt:lpstr>
      <vt:lpstr>Тюбинг!Область_печати</vt:lpstr>
    </vt:vector>
  </TitlesOfParts>
  <Company>ООО "Вимар"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Панина</dc:creator>
  <cp:lastModifiedBy>Аурика Соловьева</cp:lastModifiedBy>
  <cp:lastPrinted>2009-03-30T14:25:05Z</cp:lastPrinted>
  <dcterms:created xsi:type="dcterms:W3CDTF">2009-03-26T15:01:44Z</dcterms:created>
  <dcterms:modified xsi:type="dcterms:W3CDTF">2026-10-05T08:29:09Z</dcterms:modified>
</cp:coreProperties>
</file>